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firstSheet="1" activeTab="1"/>
  </bookViews>
  <sheets>
    <sheet name="INDEX" sheetId="1" r:id="rId1"/>
    <sheet name="Anne-1" sheetId="2" r:id="rId2"/>
    <sheet name="Anne-2" sheetId="3" r:id="rId3"/>
    <sheet name="Anne-3" sheetId="4" r:id="rId4"/>
    <sheet name="Anne-4" sheetId="5" r:id="rId5"/>
    <sheet name="Anne-5" sheetId="6" r:id="rId6"/>
    <sheet name="Anne-6" sheetId="7" r:id="rId7"/>
    <sheet name="Anne-7" sheetId="8" r:id="rId8"/>
    <sheet name="Anne-8" sheetId="9" r:id="rId9"/>
    <sheet name="Anne-9" sheetId="10" r:id="rId10"/>
    <sheet name="Anne-10" sheetId="11" r:id="rId11"/>
    <sheet name="Anne-11" sheetId="12" r:id="rId12"/>
    <sheet name="BB" sheetId="13" r:id="rId13"/>
    <sheet name="Urban-Rural Conn" sheetId="14" r:id="rId14"/>
    <sheet name="Sheet1" sheetId="15" state="hidden" r:id="rId15"/>
    <sheet name="Sheet2" sheetId="16" state="hidden" r:id="rId16"/>
  </sheets>
  <externalReferences>
    <externalReference r:id="rId19"/>
  </externalReferences>
  <definedNames>
    <definedName name="_xlnm.Print_Area" localSheetId="1">'Anne-1'!$A$1:$AD$46</definedName>
    <definedName name="_xlnm.Print_Area" localSheetId="10">'Anne-10'!$A$1:$P$29</definedName>
    <definedName name="_xlnm.Print_Area" localSheetId="11">'Anne-11'!$A$1:$O$37</definedName>
    <definedName name="_xlnm.Print_Area" localSheetId="2">'Anne-2'!$A$1:$L$26</definedName>
    <definedName name="_xlnm.Print_Area" localSheetId="3">'Anne-3'!$A$1:$AK$36</definedName>
    <definedName name="_xlnm.Print_Area" localSheetId="4">'Anne-4'!$A$1:$V$45</definedName>
    <definedName name="_xlnm.Print_Area" localSheetId="5">'Anne-5'!$A$1:$T$46</definedName>
    <definedName name="_xlnm.Print_Area" localSheetId="6">'Anne-6'!$A$1:$AA$46</definedName>
    <definedName name="_xlnm.Print_Area" localSheetId="7">'Anne-7'!$A$1:$O$44</definedName>
    <definedName name="_xlnm.Print_Area" localSheetId="8">'Anne-8'!$A$1:$P$45</definedName>
    <definedName name="_xlnm.Print_Area" localSheetId="9">'Anne-9'!$A$1:$R$26</definedName>
    <definedName name="_xlnm.Print_Area" localSheetId="12">'BB'!$A$1:$Q$20</definedName>
    <definedName name="_xlnm.Print_Area" localSheetId="13">'Urban-Rural Conn'!$A$1:$N$31</definedName>
    <definedName name="_xlnm.Print_Titles" localSheetId="7">'Anne-7'!$A:$B</definedName>
  </definedNames>
  <calcPr fullCalcOnLoad="1"/>
</workbook>
</file>

<file path=xl/comments5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<sst xmlns="http://schemas.openxmlformats.org/spreadsheetml/2006/main" count="845" uniqueCount="276">
  <si>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</si>
  <si>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</si>
  <si>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</si>
  <si>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</si>
  <si>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</si>
  <si>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</si>
  <si>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</si>
  <si>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</si>
  <si>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</si>
  <si>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</si>
  <si>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</si>
  <si>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</si>
  <si>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</si>
  <si>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</si>
  <si>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</si>
  <si>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</si>
  <si>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</si>
  <si>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</si>
  <si>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</si>
  <si>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</si>
  <si>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</si>
  <si>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</si>
  <si>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</si>
  <si>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</si>
  <si>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</si>
  <si>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</si>
  <si>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</si>
  <si>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</si>
  <si>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</si>
  <si>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</si>
  <si>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</si>
  <si>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</si>
  <si>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</si>
  <si>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</si>
  <si>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</si>
  <si>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</si>
  <si>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</si>
  <si>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</si>
  <si>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</si>
  <si>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</si>
  <si>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</si>
  <si>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</si>
  <si>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</si>
  <si>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</si>
  <si>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</si>
  <si>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</si>
  <si>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</si>
  <si>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</si>
  <si>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</si>
  <si>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</si>
  <si>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</si>
  <si>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</si>
  <si>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</si>
  <si>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</si>
  <si>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</si>
  <si>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</si>
  <si>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</si>
  <si>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</si>
  <si>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</si>
  <si>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</si>
  <si>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</si>
  <si>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</si>
  <si>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</si>
  <si>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</si>
  <si>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</si>
  <si>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</si>
  <si>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</si>
  <si>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</si>
  <si>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</si>
  <si>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</si>
  <si>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</si>
  <si>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</si>
  <si>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</si>
  <si>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</si>
  <si>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</si>
  <si>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</si>
  <si>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</si>
  <si>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</si>
  <si>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</si>
  <si>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</si>
  <si>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</si>
  <si>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</si>
  <si>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</si>
  <si>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</si>
  <si>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</si>
  <si>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</si>
  <si>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</si>
  <si>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</si>
  <si>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</si>
  <si>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</si>
  <si>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</si>
  <si>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</si>
  <si>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</si>
  <si>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</si>
  <si>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</si>
  <si>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</si>
  <si>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</si>
  <si>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</si>
  <si>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</si>
  <si>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</si>
  <si>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</si>
  <si>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</si>
  <si>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</si>
  <si>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</si>
  <si>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</si>
  <si>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</si>
  <si>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</si>
  <si>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</si>
  <si>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</si>
  <si>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</si>
  <si>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</si>
  <si>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</si>
  <si>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</si>
  <si>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</si>
  <si>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</si>
  <si>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</si>
  <si>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</si>
  <si>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</si>
  <si>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</si>
  <si>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</si>
  <si>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</si>
  <si>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</si>
  <si>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</si>
  <si>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</si>
  <si>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</si>
  <si>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</si>
  <si>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</si>
  <si>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</si>
  <si>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</si>
  <si>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</si>
  <si>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</si>
  <si>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</si>
  <si>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Wired line </t>
  </si>
  <si>
    <t>CMTS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</si>
  <si>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</si>
  <si>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</si>
  <si>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</si>
  <si>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</si>
  <si>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</si>
  <si>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</si>
  <si>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</si>
  <si>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</si>
  <si>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</si>
  <si>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</si>
  <si>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</si>
  <si>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</si>
  <si>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</si>
  <si>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</si>
  <si>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</si>
  <si>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</si>
  <si>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</si>
  <si>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</si>
  <si>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</si>
  <si>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</si>
  <si>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</si>
  <si>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</si>
  <si>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</si>
  <si>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A &amp; N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</si>
  <si>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</si>
  <si>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</si>
  <si>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</si>
  <si>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</si>
  <si>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</si>
  <si>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</si>
  <si>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</si>
  <si>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</si>
  <si>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</si>
  <si>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</si>
  <si>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</si>
  <si>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</si>
  <si>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</si>
  <si>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</si>
  <si>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</si>
  <si>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</si>
  <si>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</si>
  <si>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</si>
  <si>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W. Connection</t>
  </si>
  <si>
    <t>A. O.</t>
  </si>
  <si>
    <t>M. S.  BSNL</t>
  </si>
  <si>
    <t>Achi. d. Month</t>
  </si>
  <si>
    <t>Achi. upto Month</t>
  </si>
  <si>
    <t>BB-Density</t>
  </si>
  <si>
    <t>Month</t>
  </si>
  <si>
    <t>Connection Provided by BSNL (in lakh Nos.)</t>
  </si>
  <si>
    <t>Connection Provided by all Operators (in lakh Nos.)</t>
  </si>
  <si>
    <t>Wireline</t>
  </si>
  <si>
    <t>Annexure-10</t>
  </si>
  <si>
    <t>Growth</t>
  </si>
  <si>
    <t>MS Increase/decre</t>
  </si>
  <si>
    <t>D. Month</t>
  </si>
  <si>
    <t>D. Year</t>
  </si>
  <si>
    <t>31.03.2011</t>
  </si>
  <si>
    <t xml:space="preserve">As on </t>
  </si>
  <si>
    <t>Population (in thousand)</t>
  </si>
  <si>
    <t>Sub: Broadband Status (in million) &amp; Market Share</t>
  </si>
  <si>
    <t>Sub:- Growth in Telecom Sector during last Eleven years</t>
  </si>
  <si>
    <t>Connection</t>
  </si>
  <si>
    <t>Population (000)</t>
  </si>
  <si>
    <t>Teledensity</t>
  </si>
  <si>
    <t>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</si>
  <si>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</si>
  <si>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</si>
  <si>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</si>
  <si>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</si>
  <si>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</si>
  <si>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>31.03.2013</t>
  </si>
  <si>
    <t>#</t>
  </si>
  <si>
    <t>(1)  West Bengal Telecom Circle Licensing Area includes A &amp; N Circle</t>
  </si>
  <si>
    <t>Note: #</t>
  </si>
  <si>
    <t>Vodaphone</t>
  </si>
  <si>
    <t>Tata</t>
  </si>
  <si>
    <t>Loop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</si>
  <si>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</si>
  <si>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</si>
  <si>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</si>
  <si>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</si>
  <si>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</si>
  <si>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</si>
  <si>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</si>
  <si>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Vodafone*</t>
  </si>
  <si>
    <t>Note: %age market share is calculated only for those cases in which BSNL's figure and Industry figures are both positive.</t>
  </si>
  <si>
    <t>Annexure-2.</t>
  </si>
  <si>
    <t xml:space="preserve"> Annexure-3.</t>
  </si>
  <si>
    <t>Annexure-4.</t>
  </si>
  <si>
    <t>Annexure-5.</t>
  </si>
  <si>
    <t>Annexure-6.</t>
  </si>
  <si>
    <t>Annexure-7.</t>
  </si>
  <si>
    <t>Annexure-8.</t>
  </si>
  <si>
    <t>Annexure-9.</t>
  </si>
  <si>
    <t>Telephone connections &amp; Market share of BSNL during last eleven years</t>
  </si>
  <si>
    <t>Annexure-10.</t>
  </si>
  <si>
    <t>Annexure-11.</t>
  </si>
  <si>
    <t>INDEX</t>
  </si>
  <si>
    <t>.</t>
  </si>
  <si>
    <t>30.04.2013</t>
  </si>
  <si>
    <t>Conn. As on 31.03.2013</t>
  </si>
  <si>
    <t>Addition during 2013-14</t>
  </si>
  <si>
    <t>31.05.2013</t>
  </si>
  <si>
    <t>30.06.2013</t>
  </si>
  <si>
    <t>31.07.2013</t>
  </si>
  <si>
    <t>31.08.2013</t>
  </si>
  <si>
    <t>30.09.2013</t>
  </si>
  <si>
    <t>31.10.2013</t>
  </si>
  <si>
    <t>30.11.2013</t>
  </si>
  <si>
    <t>31.12.2013</t>
  </si>
  <si>
    <t>31.01.2014</t>
  </si>
  <si>
    <t>28.02.2014</t>
  </si>
  <si>
    <t>31.03.2014</t>
  </si>
  <si>
    <t>Note:  *Vodafone Status is as on 30.06.2013</t>
  </si>
  <si>
    <t>Quadrant</t>
  </si>
  <si>
    <t>Month wise telephone connection provided by BSNL &amp; All operators during 2012-13 and 2013-14 (upto August)</t>
  </si>
  <si>
    <t>Conn. As on 31.08.2013</t>
  </si>
  <si>
    <t>Teledensity Circle wise for Urban, Rural areas and all operators as on 30.09.2013</t>
  </si>
  <si>
    <t>Total telephones operator wise and Market share as on 30.09.2013</t>
  </si>
  <si>
    <t>%age contribution of BSNL in Telephone connection Achievement during 2013-14 (upto 30.09.2013)</t>
  </si>
  <si>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>Total telephone connections operator wise and circle wise as on 30.09.2013</t>
    </r>
  </si>
  <si>
    <t>Wireless telephone connections operator wise and circle wise as on 30.09.2013</t>
  </si>
  <si>
    <t>Mobile telephone connections operator wise and circle wise as on 30.09.2013</t>
  </si>
  <si>
    <t>WLL telephone service operator wise and circle wise as on 30.09.2013</t>
  </si>
  <si>
    <t>Wireline telephone service operator wise and circle wise as on 30.09.2013</t>
  </si>
  <si>
    <t xml:space="preserve">Operator wise Proportion of VLR subscribers (Service Provider wise) as on 31.07.2013 </t>
  </si>
  <si>
    <t>Sub:- Tele-density Circlewise urban Rural Area &amp; All operators as on 30/09/2013.</t>
  </si>
  <si>
    <t>Population September -2013 (in thousand)</t>
  </si>
  <si>
    <t>Sub:- Total telephones connections operatorwise  &amp; Market Share as on 30.09.2013</t>
  </si>
  <si>
    <t>SUB: %age contribution of BSNL in Telephone connection Achievement during 2013-14 (upto 30.09.2013)</t>
  </si>
  <si>
    <t>Achievement during 2013-14 (upto 30.09.2013)</t>
  </si>
  <si>
    <t>Sub:- Total telephones Operator &amp; Circlewise as on 30/09/2013.</t>
  </si>
  <si>
    <t>Addition during September 2013</t>
  </si>
  <si>
    <t>Sub:- Wireless telephones Cellular Operator &amp; circle wise as on 30/09/2013</t>
  </si>
  <si>
    <t>Sub:- GSM Mobile telephones Service Operator &amp; circle wise as on 30/09/2013</t>
  </si>
  <si>
    <t>Sub:- CDMA WLL telephones Service Operator &amp; Circle wise as on 30/09/2013</t>
  </si>
  <si>
    <t>Sub:- Wire line telephones Service Operator &amp; Circle wise as on 30/09/2013</t>
  </si>
  <si>
    <t>Sub: Telephone connection Provided by BSNL &amp; All operators during 2012-13 and 2013-14 (upto 30.09.13)</t>
  </si>
  <si>
    <t>Sub: Proportion of VLR subscribers (Service Provider wise) as on 31.08.2013</t>
  </si>
  <si>
    <t>SUB: Urban - Rural DELs of BSNL as on 30.09.2013</t>
  </si>
  <si>
    <t xml:space="preserve">No. 1-2(1)/Market Share/2013-CP&amp;M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</si>
</sst>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  <numFmt numFmtId="201" formatCode="0.0%"/>
    <numFmt numFmtId="202" formatCode="[$-4009]dd\ mmmm\ yyyy"/>
  </numFmts>
  <fonts count="5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33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33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34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33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34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34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34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33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4" fillId="0" borderId="10" xfId="15" applyNumberFormat="1" applyFont="1" applyBorder="1">
      <alignment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2" xfId="15" applyFont="1" applyBorder="1">
      <alignment/>
      <protection/>
    </xf>
    <xf numFmtId="0" fontId="4" fillId="0" borderId="33" xfId="15" applyFont="1" applyBorder="1">
      <alignment/>
      <protection/>
    </xf>
    <xf numFmtId="0" fontId="2" fillId="0" borderId="31" xfId="15" applyFont="1" applyBorder="1" applyAlignment="1">
      <alignment horizontal="center"/>
      <protection/>
    </xf>
    <xf numFmtId="3" fontId="0" fillId="0" borderId="34" xfId="15" applyNumberFormat="1" applyFont="1" applyBorder="1">
      <alignment/>
      <protection/>
    </xf>
    <xf numFmtId="3" fontId="0" fillId="0" borderId="35" xfId="15" applyNumberFormat="1" applyFont="1" applyBorder="1">
      <alignment/>
      <protection/>
    </xf>
    <xf numFmtId="0" fontId="0" fillId="0" borderId="35" xfId="0" applyBorder="1" applyAlignment="1">
      <alignment/>
    </xf>
    <xf numFmtId="2" fontId="3" fillId="0" borderId="36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1" xfId="15" applyFont="1" applyBorder="1">
      <alignment/>
      <protection/>
    </xf>
    <xf numFmtId="0" fontId="4" fillId="0" borderId="31" xfId="15" applyFont="1" applyBorder="1">
      <alignment/>
      <protection/>
    </xf>
    <xf numFmtId="4" fontId="5" fillId="0" borderId="31" xfId="15" applyNumberFormat="1" applyFont="1" applyBorder="1" applyAlignment="1">
      <alignment horizontal="center"/>
      <protection/>
    </xf>
    <xf numFmtId="4" fontId="5" fillId="0" borderId="37" xfId="15" applyNumberFormat="1" applyFont="1" applyBorder="1" applyAlignment="1">
      <alignment horizontal="center"/>
      <protection/>
    </xf>
    <xf numFmtId="4" fontId="5" fillId="0" borderId="38" xfId="15" applyNumberFormat="1" applyFont="1" applyBorder="1" applyAlignment="1">
      <alignment horizontal="center"/>
      <protection/>
    </xf>
    <xf numFmtId="4" fontId="4" fillId="0" borderId="37" xfId="15" applyNumberFormat="1" applyFont="1" applyBorder="1" applyAlignment="1">
      <alignment horizontal="center"/>
      <protection/>
    </xf>
    <xf numFmtId="4" fontId="4" fillId="0" borderId="38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0" fontId="4" fillId="0" borderId="37" xfId="15" applyFont="1" applyBorder="1" applyAlignment="1">
      <alignment horizontal="center"/>
      <protection/>
    </xf>
    <xf numFmtId="0" fontId="4" fillId="0" borderId="38" xfId="15" applyFont="1" applyBorder="1">
      <alignment/>
      <protection/>
    </xf>
    <xf numFmtId="0" fontId="4" fillId="0" borderId="39" xfId="15" applyFont="1" applyBorder="1">
      <alignment/>
      <protection/>
    </xf>
    <xf numFmtId="0" fontId="5" fillId="0" borderId="40" xfId="15" applyFont="1" applyBorder="1">
      <alignment/>
      <protection/>
    </xf>
    <xf numFmtId="2" fontId="5" fillId="0" borderId="37" xfId="15" applyNumberFormat="1" applyFont="1" applyBorder="1" applyAlignment="1">
      <alignment horizontal="center"/>
      <protection/>
    </xf>
    <xf numFmtId="2" fontId="4" fillId="0" borderId="38" xfId="15" applyNumberFormat="1" applyFont="1" applyBorder="1" applyAlignment="1">
      <alignment horizontal="center"/>
      <protection/>
    </xf>
    <xf numFmtId="2" fontId="5" fillId="0" borderId="38" xfId="15" applyNumberFormat="1" applyFont="1" applyBorder="1" applyAlignment="1">
      <alignment horizontal="center"/>
      <protection/>
    </xf>
    <xf numFmtId="2" fontId="4" fillId="0" borderId="37" xfId="15" applyNumberFormat="1" applyFont="1" applyBorder="1" applyAlignment="1">
      <alignment horizontal="center"/>
      <protection/>
    </xf>
    <xf numFmtId="2" fontId="5" fillId="0" borderId="39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4" fontId="4" fillId="0" borderId="41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2" fillId="0" borderId="37" xfId="15" applyFont="1" applyBorder="1" applyAlignment="1">
      <alignment horizontal="center" vertical="center" wrapText="1"/>
      <protection/>
    </xf>
    <xf numFmtId="0" fontId="2" fillId="33" borderId="38" xfId="15" applyFont="1" applyFill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6" xfId="15" applyFont="1" applyBorder="1" applyAlignment="1">
      <alignment horizontal="center" vertical="center" wrapText="1"/>
      <protection/>
    </xf>
    <xf numFmtId="0" fontId="2" fillId="33" borderId="47" xfId="15" applyFont="1" applyFill="1" applyBorder="1" applyAlignment="1">
      <alignment vertical="center" wrapText="1"/>
      <protection/>
    </xf>
    <xf numFmtId="3" fontId="0" fillId="0" borderId="46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/>
    </xf>
    <xf numFmtId="0" fontId="4" fillId="33" borderId="37" xfId="15" applyFont="1" applyFill="1" applyBorder="1" applyAlignment="1">
      <alignment horizontal="center"/>
      <protection/>
    </xf>
    <xf numFmtId="0" fontId="4" fillId="33" borderId="38" xfId="15" applyFont="1" applyFill="1" applyBorder="1">
      <alignment/>
      <protection/>
    </xf>
    <xf numFmtId="4" fontId="4" fillId="33" borderId="37" xfId="15" applyNumberFormat="1" applyFont="1" applyFill="1" applyBorder="1" applyAlignment="1">
      <alignment horizontal="center"/>
      <protection/>
    </xf>
    <xf numFmtId="4" fontId="4" fillId="33" borderId="10" xfId="15" applyNumberFormat="1" applyFont="1" applyFill="1" applyBorder="1" applyAlignment="1">
      <alignment horizontal="center"/>
      <protection/>
    </xf>
    <xf numFmtId="4" fontId="4" fillId="33" borderId="38" xfId="15" applyNumberFormat="1" applyFont="1" applyFill="1" applyBorder="1" applyAlignment="1">
      <alignment horizontal="center"/>
      <protection/>
    </xf>
    <xf numFmtId="2" fontId="4" fillId="33" borderId="37" xfId="15" applyNumberFormat="1" applyFont="1" applyFill="1" applyBorder="1" applyAlignment="1">
      <alignment horizontal="center"/>
      <protection/>
    </xf>
    <xf numFmtId="2" fontId="4" fillId="33" borderId="10" xfId="15" applyNumberFormat="1" applyFont="1" applyFill="1" applyBorder="1" applyAlignment="1">
      <alignment horizontal="center"/>
      <protection/>
    </xf>
    <xf numFmtId="2" fontId="4" fillId="33" borderId="38" xfId="15" applyNumberFormat="1" applyFont="1" applyFill="1" applyBorder="1" applyAlignment="1">
      <alignment horizontal="center"/>
      <protection/>
    </xf>
    <xf numFmtId="0" fontId="4" fillId="33" borderId="0" xfId="15" applyFont="1" applyFill="1">
      <alignment/>
      <protection/>
    </xf>
    <xf numFmtId="3" fontId="4" fillId="33" borderId="0" xfId="15" applyNumberFormat="1" applyFont="1" applyFill="1">
      <alignment/>
      <protection/>
    </xf>
    <xf numFmtId="2" fontId="4" fillId="33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48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7" xfId="15" applyFont="1" applyBorder="1" applyAlignment="1">
      <alignment horizontal="center" vertical="center"/>
      <protection/>
    </xf>
    <xf numFmtId="0" fontId="4" fillId="0" borderId="38" xfId="15" applyFont="1" applyBorder="1" applyAlignment="1">
      <alignment vertical="center"/>
      <protection/>
    </xf>
    <xf numFmtId="4" fontId="4" fillId="0" borderId="37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38" xfId="15" applyNumberFormat="1" applyFont="1" applyBorder="1" applyAlignment="1">
      <alignment horizontal="center" vertical="center"/>
      <protection/>
    </xf>
    <xf numFmtId="2" fontId="4" fillId="0" borderId="37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4" fontId="4" fillId="0" borderId="37" xfId="15" applyNumberFormat="1" applyFont="1" applyFill="1" applyBorder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0" fontId="4" fillId="0" borderId="40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187" fontId="4" fillId="0" borderId="0" xfId="15" applyNumberFormat="1" applyFont="1">
      <alignment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 vertical="center"/>
    </xf>
    <xf numFmtId="2" fontId="4" fillId="0" borderId="10" xfId="15" applyNumberFormat="1" applyFont="1" applyBorder="1" applyAlignment="1">
      <alignment vertical="center"/>
      <protection/>
    </xf>
    <xf numFmtId="2" fontId="4" fillId="0" borderId="0" xfId="15" applyNumberFormat="1" applyFont="1" applyAlignment="1">
      <alignment vertical="center"/>
      <protection/>
    </xf>
    <xf numFmtId="0" fontId="12" fillId="0" borderId="0" xfId="15" applyFont="1">
      <alignment/>
      <protection/>
    </xf>
    <xf numFmtId="4" fontId="4" fillId="0" borderId="16" xfId="0" applyNumberFormat="1" applyFont="1" applyBorder="1" applyAlignment="1">
      <alignment horizontal="center" vertical="center"/>
    </xf>
    <xf numFmtId="3" fontId="2" fillId="33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2" fontId="4" fillId="0" borderId="10" xfId="15" applyNumberFormat="1" applyFont="1" applyBorder="1" applyAlignment="1">
      <alignment horizontal="right" vertical="center"/>
      <protection/>
    </xf>
    <xf numFmtId="0" fontId="4" fillId="0" borderId="37" xfId="15" applyFont="1" applyBorder="1" applyAlignment="1">
      <alignment vertical="center"/>
      <protection/>
    </xf>
    <xf numFmtId="2" fontId="4" fillId="0" borderId="38" xfId="15" applyNumberFormat="1" applyFont="1" applyBorder="1" applyAlignment="1">
      <alignment horizontal="center" vertical="center"/>
      <protection/>
    </xf>
    <xf numFmtId="0" fontId="4" fillId="0" borderId="29" xfId="15" applyFont="1" applyBorder="1">
      <alignment/>
      <protection/>
    </xf>
    <xf numFmtId="2" fontId="4" fillId="0" borderId="38" xfId="15" applyNumberFormat="1" applyFont="1" applyBorder="1" applyAlignment="1">
      <alignment vertical="center"/>
      <protection/>
    </xf>
    <xf numFmtId="0" fontId="4" fillId="0" borderId="40" xfId="15" applyFont="1" applyBorder="1" applyAlignment="1">
      <alignment horizontal="center" wrapText="1"/>
      <protection/>
    </xf>
    <xf numFmtId="0" fontId="4" fillId="0" borderId="39" xfId="15" applyFont="1" applyBorder="1" applyAlignment="1">
      <alignment horizontal="center" wrapText="1"/>
      <protection/>
    </xf>
    <xf numFmtId="0" fontId="4" fillId="0" borderId="40" xfId="15" applyFont="1" applyBorder="1">
      <alignment/>
      <protection/>
    </xf>
    <xf numFmtId="4" fontId="4" fillId="0" borderId="0" xfId="15" applyNumberFormat="1" applyFont="1" applyAlignment="1">
      <alignment vertical="center"/>
      <protection/>
    </xf>
    <xf numFmtId="0" fontId="4" fillId="0" borderId="44" xfId="15" applyFont="1" applyBorder="1" applyAlignment="1">
      <alignment vertical="center"/>
      <protection/>
    </xf>
    <xf numFmtId="0" fontId="4" fillId="0" borderId="28" xfId="15" applyFont="1" applyBorder="1" applyAlignment="1">
      <alignment vertical="center"/>
      <protection/>
    </xf>
    <xf numFmtId="2" fontId="4" fillId="0" borderId="28" xfId="15" applyNumberFormat="1" applyFont="1" applyBorder="1" applyAlignment="1">
      <alignment vertical="center"/>
      <protection/>
    </xf>
    <xf numFmtId="0" fontId="4" fillId="0" borderId="43" xfId="15" applyFont="1" applyBorder="1" applyAlignment="1">
      <alignment vertical="center"/>
      <protection/>
    </xf>
    <xf numFmtId="0" fontId="4" fillId="0" borderId="51" xfId="15" applyFont="1" applyBorder="1" applyAlignment="1">
      <alignment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0" fontId="4" fillId="0" borderId="45" xfId="15" applyFont="1" applyBorder="1">
      <alignment/>
      <protection/>
    </xf>
    <xf numFmtId="2" fontId="4" fillId="0" borderId="44" xfId="15" applyNumberFormat="1" applyFont="1" applyBorder="1" applyAlignment="1">
      <alignment horizontal="center" vertical="center"/>
      <protection/>
    </xf>
    <xf numFmtId="200" fontId="4" fillId="0" borderId="38" xfId="15" applyNumberFormat="1" applyFont="1" applyBorder="1" applyAlignment="1">
      <alignment horizontal="right" vertical="center"/>
      <protection/>
    </xf>
    <xf numFmtId="0" fontId="4" fillId="0" borderId="52" xfId="15" applyFont="1" applyBorder="1" applyAlignment="1">
      <alignment vertical="center"/>
      <protection/>
    </xf>
    <xf numFmtId="2" fontId="4" fillId="0" borderId="53" xfId="15" applyNumberFormat="1" applyFont="1" applyBorder="1" applyAlignment="1">
      <alignment vertical="center"/>
      <protection/>
    </xf>
    <xf numFmtId="2" fontId="4" fillId="0" borderId="54" xfId="15" applyNumberFormat="1" applyFont="1" applyBorder="1" applyAlignment="1">
      <alignment horizontal="center" vertical="center"/>
      <protection/>
    </xf>
    <xf numFmtId="2" fontId="4" fillId="0" borderId="52" xfId="15" applyNumberFormat="1" applyFont="1" applyBorder="1" applyAlignment="1">
      <alignment horizontal="center" vertical="center"/>
      <protection/>
    </xf>
    <xf numFmtId="0" fontId="4" fillId="0" borderId="53" xfId="15" applyFont="1" applyBorder="1" applyAlignment="1">
      <alignment vertical="center"/>
      <protection/>
    </xf>
    <xf numFmtId="0" fontId="4" fillId="0" borderId="54" xfId="15" applyFont="1" applyBorder="1" applyAlignment="1">
      <alignment vertical="center"/>
      <protection/>
    </xf>
    <xf numFmtId="0" fontId="4" fillId="0" borderId="55" xfId="15" applyFont="1" applyBorder="1" applyAlignment="1">
      <alignment vertical="center"/>
      <protection/>
    </xf>
    <xf numFmtId="2" fontId="4" fillId="0" borderId="37" xfId="15" applyNumberFormat="1" applyFont="1" applyBorder="1" applyAlignment="1">
      <alignment vertical="center"/>
      <protection/>
    </xf>
    <xf numFmtId="2" fontId="4" fillId="0" borderId="43" xfId="15" applyNumberFormat="1" applyFont="1" applyBorder="1" applyAlignment="1">
      <alignment vertical="center"/>
      <protection/>
    </xf>
    <xf numFmtId="2" fontId="4" fillId="0" borderId="28" xfId="15" applyNumberFormat="1" applyFont="1" applyBorder="1" applyAlignment="1">
      <alignment horizontal="right" vertical="center"/>
      <protection/>
    </xf>
    <xf numFmtId="200" fontId="4" fillId="0" borderId="43" xfId="15" applyNumberFormat="1" applyFont="1" applyBorder="1" applyAlignment="1">
      <alignment horizontal="right" vertical="center"/>
      <protection/>
    </xf>
    <xf numFmtId="0" fontId="2" fillId="0" borderId="0" xfId="15" applyFont="1" applyBorder="1" applyAlignment="1">
      <alignment horizontal="center"/>
      <protection/>
    </xf>
    <xf numFmtId="0" fontId="4" fillId="0" borderId="56" xfId="15" applyFont="1" applyBorder="1">
      <alignment/>
      <protection/>
    </xf>
    <xf numFmtId="0" fontId="4" fillId="0" borderId="37" xfId="15" applyFont="1" applyBorder="1">
      <alignment/>
      <protection/>
    </xf>
    <xf numFmtId="3" fontId="4" fillId="0" borderId="38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/>
      <protection/>
    </xf>
    <xf numFmtId="2" fontId="4" fillId="0" borderId="37" xfId="15" applyNumberFormat="1" applyFont="1" applyBorder="1">
      <alignment/>
      <protection/>
    </xf>
    <xf numFmtId="4" fontId="1" fillId="0" borderId="0" xfId="0" applyNumberFormat="1" applyFont="1" applyFill="1" applyBorder="1" applyAlignment="1">
      <alignment vertical="center"/>
    </xf>
    <xf numFmtId="0" fontId="4" fillId="0" borderId="56" xfId="15" applyFont="1" applyBorder="1" applyAlignment="1">
      <alignment vertical="center"/>
      <protection/>
    </xf>
    <xf numFmtId="0" fontId="4" fillId="0" borderId="57" xfId="15" applyFont="1" applyBorder="1">
      <alignment/>
      <protection/>
    </xf>
    <xf numFmtId="2" fontId="4" fillId="0" borderId="58" xfId="15" applyNumberFormat="1" applyFont="1" applyBorder="1">
      <alignment/>
      <protection/>
    </xf>
    <xf numFmtId="2" fontId="4" fillId="0" borderId="57" xfId="15" applyNumberFormat="1" applyFont="1" applyBorder="1" applyAlignment="1">
      <alignment vertical="center"/>
      <protection/>
    </xf>
    <xf numFmtId="0" fontId="4" fillId="0" borderId="57" xfId="15" applyFont="1" applyBorder="1" applyAlignment="1">
      <alignment vertical="center"/>
      <protection/>
    </xf>
    <xf numFmtId="3" fontId="4" fillId="0" borderId="59" xfId="15" applyNumberFormat="1" applyFont="1" applyBorder="1">
      <alignment/>
      <protection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60" xfId="0" applyNumberFormat="1" applyFont="1" applyBorder="1" applyAlignment="1">
      <alignment horizontal="left" vertical="center"/>
    </xf>
    <xf numFmtId="17" fontId="4" fillId="0" borderId="56" xfId="0" applyNumberFormat="1" applyFont="1" applyBorder="1" applyAlignment="1">
      <alignment horizontal="left" vertical="center"/>
    </xf>
    <xf numFmtId="0" fontId="4" fillId="0" borderId="61" xfId="15" applyFont="1" applyBorder="1">
      <alignment/>
      <protection/>
    </xf>
    <xf numFmtId="0" fontId="4" fillId="0" borderId="62" xfId="15" applyFont="1" applyBorder="1">
      <alignment/>
      <protection/>
    </xf>
    <xf numFmtId="2" fontId="4" fillId="0" borderId="63" xfId="15" applyNumberFormat="1" applyFont="1" applyBorder="1">
      <alignment/>
      <protection/>
    </xf>
    <xf numFmtId="2" fontId="4" fillId="0" borderId="64" xfId="15" applyNumberFormat="1" applyFont="1" applyBorder="1" applyAlignment="1">
      <alignment horizontal="center" vertical="center"/>
      <protection/>
    </xf>
    <xf numFmtId="2" fontId="4" fillId="0" borderId="62" xfId="15" applyNumberFormat="1" applyFont="1" applyBorder="1" applyAlignment="1">
      <alignment horizontal="center" vertical="center"/>
      <protection/>
    </xf>
    <xf numFmtId="2" fontId="4" fillId="0" borderId="62" xfId="15" applyNumberFormat="1" applyFont="1" applyBorder="1" applyAlignment="1">
      <alignment vertical="center"/>
      <protection/>
    </xf>
    <xf numFmtId="2" fontId="4" fillId="0" borderId="63" xfId="15" applyNumberFormat="1" applyFont="1" applyBorder="1" applyAlignment="1">
      <alignment vertical="center"/>
      <protection/>
    </xf>
    <xf numFmtId="2" fontId="4" fillId="0" borderId="64" xfId="15" applyNumberFormat="1" applyFont="1" applyBorder="1" applyAlignment="1">
      <alignment vertical="center"/>
      <protection/>
    </xf>
    <xf numFmtId="0" fontId="4" fillId="0" borderId="62" xfId="15" applyFont="1" applyBorder="1" applyAlignment="1">
      <alignment vertical="center"/>
      <protection/>
    </xf>
    <xf numFmtId="2" fontId="4" fillId="0" borderId="63" xfId="15" applyNumberFormat="1" applyFont="1" applyBorder="1" applyAlignment="1">
      <alignment horizontal="right" vertical="center"/>
      <protection/>
    </xf>
    <xf numFmtId="3" fontId="4" fillId="0" borderId="64" xfId="15" applyNumberFormat="1" applyFont="1" applyBorder="1">
      <alignment/>
      <protection/>
    </xf>
    <xf numFmtId="17" fontId="5" fillId="0" borderId="65" xfId="0" applyNumberFormat="1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33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33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8" xfId="15" applyNumberFormat="1" applyFont="1" applyBorder="1" applyAlignment="1">
      <alignment horizontal="center" vertical="center"/>
      <protection/>
    </xf>
    <xf numFmtId="3" fontId="4" fillId="33" borderId="10" xfId="15" applyNumberFormat="1" applyFont="1" applyFill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33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2" fontId="4" fillId="0" borderId="44" xfId="15" applyNumberFormat="1" applyFont="1" applyBorder="1" applyAlignment="1">
      <alignment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15" applyFont="1" applyFill="1" applyBorder="1">
      <alignment/>
      <protection/>
    </xf>
    <xf numFmtId="0" fontId="4" fillId="0" borderId="37" xfId="15" applyFont="1" applyFill="1" applyBorder="1" applyAlignment="1">
      <alignment horizontal="center" vertical="center"/>
      <protection/>
    </xf>
    <xf numFmtId="0" fontId="4" fillId="0" borderId="38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38" xfId="15" applyNumberFormat="1" applyFont="1" applyFill="1" applyBorder="1" applyAlignment="1">
      <alignment horizontal="center" vertical="center"/>
      <protection/>
    </xf>
    <xf numFmtId="2" fontId="4" fillId="0" borderId="37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49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15" applyFont="1" applyFill="1" applyBorder="1">
      <alignment/>
      <protection/>
    </xf>
    <xf numFmtId="2" fontId="3" fillId="0" borderId="66" xfId="15" applyNumberFormat="1" applyFont="1" applyBorder="1" applyAlignment="1" quotePrefix="1">
      <alignment horizontal="center"/>
      <protection/>
    </xf>
    <xf numFmtId="2" fontId="3" fillId="0" borderId="67" xfId="15" applyNumberFormat="1" applyFont="1" applyBorder="1" applyAlignment="1" quotePrefix="1">
      <alignment horizontal="center"/>
      <protection/>
    </xf>
    <xf numFmtId="2" fontId="2" fillId="0" borderId="0" xfId="15" applyNumberFormat="1" applyFont="1" applyBorder="1" applyAlignment="1" quotePrefix="1">
      <alignment horizontal="center"/>
      <protection/>
    </xf>
    <xf numFmtId="0" fontId="2" fillId="0" borderId="16" xfId="15" applyFont="1" applyBorder="1" applyAlignment="1">
      <alignment/>
      <protection/>
    </xf>
    <xf numFmtId="4" fontId="0" fillId="0" borderId="38" xfId="0" applyNumberFormat="1" applyBorder="1" applyAlignment="1" quotePrefix="1">
      <alignment horizontal="center"/>
    </xf>
    <xf numFmtId="4" fontId="0" fillId="0" borderId="40" xfId="0" applyNumberFormat="1" applyBorder="1" applyAlignment="1" quotePrefix="1">
      <alignment horizontal="center"/>
    </xf>
    <xf numFmtId="2" fontId="1" fillId="0" borderId="10" xfId="15" applyNumberFormat="1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/>
    </xf>
    <xf numFmtId="0" fontId="10" fillId="0" borderId="0" xfId="54" applyAlignment="1" applyProtection="1" quotePrefix="1">
      <alignment/>
      <protection/>
    </xf>
    <xf numFmtId="0" fontId="10" fillId="0" borderId="10" xfId="54" applyBorder="1" applyAlignment="1" applyProtection="1">
      <alignment vertical="center"/>
      <protection/>
    </xf>
    <xf numFmtId="1" fontId="2" fillId="0" borderId="0" xfId="15" applyNumberFormat="1" applyFont="1">
      <alignment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/>
      <protection/>
    </xf>
    <xf numFmtId="2" fontId="4" fillId="0" borderId="14" xfId="15" applyNumberFormat="1" applyFont="1" applyFill="1" applyBorder="1" applyAlignment="1">
      <alignment horizontal="center"/>
      <protection/>
    </xf>
    <xf numFmtId="3" fontId="2" fillId="0" borderId="0" xfId="15" applyNumberFormat="1" applyFont="1" applyAlignment="1">
      <alignment vertical="center"/>
      <protection/>
    </xf>
    <xf numFmtId="4" fontId="2" fillId="0" borderId="0" xfId="15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3" fontId="3" fillId="0" borderId="10" xfId="15" applyNumberFormat="1" applyFont="1" applyBorder="1" applyAlignment="1">
      <alignment horizontal="center" wrapText="1"/>
      <protection/>
    </xf>
    <xf numFmtId="2" fontId="4" fillId="8" borderId="28" xfId="0" applyNumberFormat="1" applyFont="1" applyFill="1" applyBorder="1" applyAlignment="1">
      <alignment horizontal="center" vertical="center"/>
    </xf>
    <xf numFmtId="2" fontId="4" fillId="8" borderId="43" xfId="0" applyNumberFormat="1" applyFont="1" applyFill="1" applyBorder="1" applyAlignment="1">
      <alignment horizontal="center" vertical="center"/>
    </xf>
    <xf numFmtId="2" fontId="4" fillId="8" borderId="38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2" fontId="4" fillId="8" borderId="42" xfId="0" applyNumberFormat="1" applyFont="1" applyFill="1" applyBorder="1" applyAlignment="1">
      <alignment horizontal="center" vertical="center"/>
    </xf>
    <xf numFmtId="2" fontId="13" fillId="8" borderId="40" xfId="0" applyNumberFormat="1" applyFont="1" applyFill="1" applyBorder="1" applyAlignment="1">
      <alignment horizontal="center" vertical="center"/>
    </xf>
    <xf numFmtId="2" fontId="4" fillId="8" borderId="44" xfId="0" applyNumberFormat="1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41" xfId="0" applyNumberFormat="1" applyFont="1" applyFill="1" applyBorder="1" applyAlignment="1">
      <alignment horizontal="center" vertical="center"/>
    </xf>
    <xf numFmtId="2" fontId="5" fillId="8" borderId="39" xfId="0" applyNumberFormat="1" applyFont="1" applyFill="1" applyBorder="1" applyAlignment="1">
      <alignment horizontal="center" vertical="center"/>
    </xf>
    <xf numFmtId="2" fontId="4" fillId="8" borderId="29" xfId="0" applyNumberFormat="1" applyFont="1" applyFill="1" applyBorder="1" applyAlignment="1">
      <alignment horizontal="center" vertical="center"/>
    </xf>
    <xf numFmtId="2" fontId="4" fillId="8" borderId="40" xfId="0" applyNumberFormat="1" applyFont="1" applyFill="1" applyBorder="1" applyAlignment="1">
      <alignment horizontal="center" vertical="center"/>
    </xf>
    <xf numFmtId="2" fontId="5" fillId="8" borderId="41" xfId="0" applyNumberFormat="1" applyFont="1" applyFill="1" applyBorder="1" applyAlignment="1">
      <alignment horizontal="center" vertical="center"/>
    </xf>
    <xf numFmtId="2" fontId="5" fillId="8" borderId="11" xfId="0" applyNumberFormat="1" applyFont="1" applyFill="1" applyBorder="1" applyAlignment="1">
      <alignment horizontal="center" vertical="center"/>
    </xf>
    <xf numFmtId="2" fontId="13" fillId="8" borderId="42" xfId="0" applyNumberFormat="1" applyFont="1" applyFill="1" applyBorder="1" applyAlignment="1">
      <alignment horizontal="center" vertical="center"/>
    </xf>
    <xf numFmtId="17" fontId="4" fillId="0" borderId="68" xfId="0" applyNumberFormat="1" applyFont="1" applyBorder="1" applyAlignment="1">
      <alignment horizontal="left" vertical="center"/>
    </xf>
    <xf numFmtId="4" fontId="4" fillId="0" borderId="42" xfId="0" applyNumberFormat="1" applyFont="1" applyBorder="1" applyAlignment="1">
      <alignment horizontal="center" vertical="center"/>
    </xf>
    <xf numFmtId="188" fontId="4" fillId="0" borderId="10" xfId="15" applyNumberFormat="1" applyFont="1" applyBorder="1" applyAlignment="1">
      <alignment vertical="center"/>
      <protection/>
    </xf>
    <xf numFmtId="4" fontId="0" fillId="0" borderId="38" xfId="0" applyNumberFormat="1" applyFont="1" applyBorder="1" applyAlignment="1" quotePrefix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2" fillId="35" borderId="10" xfId="15" applyFont="1" applyFill="1" applyBorder="1">
      <alignment/>
      <protection/>
    </xf>
    <xf numFmtId="3" fontId="0" fillId="0" borderId="10" xfId="15" applyNumberFormat="1" applyFont="1" applyFill="1" applyBorder="1">
      <alignment/>
      <protection/>
    </xf>
    <xf numFmtId="0" fontId="2" fillId="35" borderId="0" xfId="15" applyFont="1" applyFill="1">
      <alignment/>
      <protection/>
    </xf>
    <xf numFmtId="0" fontId="2" fillId="33" borderId="0" xfId="15" applyFont="1" applyFill="1" applyBorder="1" applyAlignment="1">
      <alignment vertical="center" wrapText="1"/>
      <protection/>
    </xf>
    <xf numFmtId="3" fontId="4" fillId="0" borderId="0" xfId="15" applyNumberFormat="1" applyFont="1" applyFill="1" applyBorder="1" applyAlignment="1">
      <alignment horizontal="right"/>
      <protection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0" fillId="0" borderId="0" xfId="15" applyNumberFormat="1" applyFont="1" applyBorder="1" applyAlignment="1" quotePrefix="1">
      <alignment horizontal="center"/>
      <protection/>
    </xf>
    <xf numFmtId="0" fontId="4" fillId="0" borderId="0" xfId="0" applyFont="1" applyAlignment="1">
      <alignment horizontal="center" vertical="center"/>
    </xf>
    <xf numFmtId="1" fontId="17" fillId="0" borderId="0" xfId="15" applyNumberFormat="1" applyFont="1">
      <alignment/>
      <protection/>
    </xf>
    <xf numFmtId="3" fontId="2" fillId="0" borderId="0" xfId="0" applyNumberFormat="1" applyFont="1" applyAlignment="1">
      <alignment/>
    </xf>
    <xf numFmtId="3" fontId="0" fillId="0" borderId="10" xfId="15" applyNumberFormat="1" applyFont="1" applyBorder="1">
      <alignment/>
      <protection/>
    </xf>
    <xf numFmtId="4" fontId="14" fillId="0" borderId="10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4" fillId="0" borderId="11" xfId="15" applyNumberFormat="1" applyFont="1" applyBorder="1" applyAlignment="1">
      <alignment horizontal="right" vertical="center"/>
      <protection/>
    </xf>
    <xf numFmtId="200" fontId="4" fillId="0" borderId="42" xfId="15" applyNumberFormat="1" applyFont="1" applyBorder="1" applyAlignment="1">
      <alignment horizontal="right" vertical="center"/>
      <protection/>
    </xf>
    <xf numFmtId="3" fontId="2" fillId="0" borderId="10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3" fontId="18" fillId="0" borderId="29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4" fontId="3" fillId="0" borderId="0" xfId="15" applyNumberFormat="1" applyFont="1" applyBorder="1">
      <alignment/>
      <protection/>
    </xf>
    <xf numFmtId="4" fontId="3" fillId="0" borderId="69" xfId="15" applyNumberFormat="1" applyFont="1" applyBorder="1">
      <alignment/>
      <protection/>
    </xf>
    <xf numFmtId="4" fontId="17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70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43" xfId="15" applyFont="1" applyBorder="1" applyAlignment="1">
      <alignment horizontal="center" vertical="center" wrapText="1"/>
      <protection/>
    </xf>
    <xf numFmtId="0" fontId="5" fillId="0" borderId="71" xfId="15" applyFont="1" applyBorder="1" applyAlignment="1">
      <alignment horizontal="center" vertical="center" wrapText="1"/>
      <protection/>
    </xf>
    <xf numFmtId="0" fontId="5" fillId="0" borderId="44" xfId="15" applyFont="1" applyBorder="1" applyAlignment="1">
      <alignment horizontal="center" vertical="center" wrapText="1"/>
      <protection/>
    </xf>
    <xf numFmtId="0" fontId="5" fillId="0" borderId="46" xfId="15" applyFont="1" applyBorder="1" applyAlignment="1">
      <alignment horizontal="center" vertical="center" wrapText="1"/>
      <protection/>
    </xf>
    <xf numFmtId="0" fontId="5" fillId="0" borderId="37" xfId="15" applyFont="1" applyBorder="1" applyAlignment="1">
      <alignment horizontal="center" vertical="center" wrapText="1"/>
      <protection/>
    </xf>
    <xf numFmtId="0" fontId="5" fillId="0" borderId="72" xfId="15" applyFont="1" applyBorder="1" applyAlignment="1">
      <alignment horizontal="center" vertical="center" wrapText="1"/>
      <protection/>
    </xf>
    <xf numFmtId="0" fontId="5" fillId="0" borderId="73" xfId="15" applyFont="1" applyBorder="1" applyAlignment="1">
      <alignment horizontal="center" vertical="center" wrapText="1"/>
      <protection/>
    </xf>
    <xf numFmtId="0" fontId="5" fillId="0" borderId="74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4" xfId="15" applyFont="1" applyBorder="1" applyAlignment="1">
      <alignment horizontal="center" vertical="center" wrapText="1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2" xfId="0" applyFont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8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8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2" fillId="0" borderId="58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8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8" xfId="15" applyFont="1" applyBorder="1" applyAlignment="1">
      <alignment horizontal="center" vertical="center" wrapText="1"/>
      <protection/>
    </xf>
    <xf numFmtId="0" fontId="5" fillId="0" borderId="31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4" fillId="0" borderId="10" xfId="15" applyFont="1" applyFill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1" xfId="15" applyFont="1" applyBorder="1" applyAlignment="1">
      <alignment horizont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3" fillId="0" borderId="58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1" fillId="0" borderId="58" xfId="15" applyFont="1" applyBorder="1" applyAlignment="1">
      <alignment horizont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58" xfId="15" applyFont="1" applyBorder="1" applyAlignment="1">
      <alignment horizontal="center" vertical="center" wrapText="1"/>
      <protection/>
    </xf>
    <xf numFmtId="0" fontId="5" fillId="0" borderId="47" xfId="15" applyFont="1" applyBorder="1" applyAlignment="1">
      <alignment horizontal="center" vertical="center" wrapText="1"/>
      <protection/>
    </xf>
    <xf numFmtId="4" fontId="4" fillId="0" borderId="82" xfId="15" applyNumberFormat="1" applyFont="1" applyBorder="1" applyAlignment="1">
      <alignment horizontal="center"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4" fontId="4" fillId="0" borderId="83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/>
      <protection/>
    </xf>
    <xf numFmtId="2" fontId="4" fillId="0" borderId="82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83" xfId="15" applyNumberFormat="1" applyFont="1" applyBorder="1" applyAlignment="1">
      <alignment horizontal="center" vertical="center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15" applyFont="1" applyBorder="1" applyAlignment="1">
      <alignment horizontal="center" wrapText="1"/>
      <protection/>
    </xf>
    <xf numFmtId="0" fontId="4" fillId="0" borderId="40" xfId="15" applyFont="1" applyBorder="1" applyAlignment="1">
      <alignment horizontal="center" wrapText="1"/>
      <protection/>
    </xf>
    <xf numFmtId="0" fontId="4" fillId="0" borderId="51" xfId="15" applyFont="1" applyBorder="1" applyAlignment="1">
      <alignment horizontal="center"/>
      <protection/>
    </xf>
    <xf numFmtId="0" fontId="4" fillId="0" borderId="82" xfId="15" applyFont="1" applyBorder="1" applyAlignment="1">
      <alignment horizontal="center"/>
      <protection/>
    </xf>
    <xf numFmtId="0" fontId="4" fillId="0" borderId="44" xfId="15" applyFont="1" applyBorder="1" applyAlignment="1">
      <alignment horizontal="center"/>
      <protection/>
    </xf>
    <xf numFmtId="0" fontId="4" fillId="0" borderId="28" xfId="15" applyFont="1" applyBorder="1" applyAlignment="1">
      <alignment horizontal="center"/>
      <protection/>
    </xf>
    <xf numFmtId="0" fontId="4" fillId="0" borderId="44" xfId="15" applyFont="1" applyBorder="1" applyAlignment="1">
      <alignment horizontal="center" wrapText="1"/>
      <protection/>
    </xf>
    <xf numFmtId="0" fontId="4" fillId="0" borderId="80" xfId="15" applyFont="1" applyBorder="1" applyAlignment="1">
      <alignment horizontal="center"/>
      <protection/>
    </xf>
    <xf numFmtId="0" fontId="4" fillId="0" borderId="43" xfId="15" applyFont="1" applyBorder="1" applyAlignment="1">
      <alignment horizontal="center"/>
      <protection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7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-0.01675"/>
          <c:w val="0.889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'Anne-11'!$B$4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'Anne-11'!$B$5:$B$17</c:f>
              <c:numCache/>
            </c:numRef>
          </c:val>
        </c:ser>
        <c:ser>
          <c:idx val="1"/>
          <c:order val="1"/>
          <c:tx>
            <c:strRef>
              <c:f>'Anne-11'!$C$4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'Anne-11'!$C$5:$C$17</c:f>
              <c:numCache/>
            </c:numRef>
          </c:val>
        </c:ser>
        <c:axId val="35712465"/>
        <c:axId val="11764262"/>
      </c:barChart>
      <c:lineChart>
        <c:grouping val="standard"/>
        <c:varyColors val="0"/>
        <c:ser>
          <c:idx val="2"/>
          <c:order val="2"/>
          <c:tx>
            <c:strRef>
              <c:f>'Anne-11'!$D$4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'Anne-11'!$A$5:$A$17</c:f>
              <c:strCache/>
            </c:strRef>
          </c:cat>
          <c:val>
            <c:numRef>
              <c:f>'Anne-11'!$D$5:$D$17</c:f>
              <c:numCache/>
            </c:numRef>
          </c:val>
          <c:smooth val="0"/>
        </c:ser>
        <c:axId val="45722911"/>
        <c:axId val="20657036"/>
      </c:lineChart>
      <c:dateAx>
        <c:axId val="3571246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28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642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764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12465"/>
        <c:crossesAt val="1"/>
        <c:crossBetween val="between"/>
        <c:dispUnits/>
      </c:valAx>
      <c:dateAx>
        <c:axId val="45722911"/>
        <c:scaling>
          <c:orientation val="minMax"/>
        </c:scaling>
        <c:axPos val="b"/>
        <c:delete val="1"/>
        <c:majorTickMark val="out"/>
        <c:minorTickMark val="none"/>
        <c:tickLblPos val="nextTo"/>
        <c:crossAx val="20657036"/>
        <c:crosses val="autoZero"/>
        <c:auto val="0"/>
        <c:noMultiLvlLbl val="0"/>
      </c:dateAx>
      <c:valAx>
        <c:axId val="20657036"/>
        <c:scaling>
          <c:orientation val="minMax"/>
          <c:max val="100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7229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5"/>
          <c:y val="0.0515"/>
          <c:w val="0.19225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43</xdr:row>
      <xdr:rowOff>19050</xdr:rowOff>
    </xdr:from>
    <xdr:ext cx="180975" cy="266700"/>
    <xdr:sp>
      <xdr:nvSpPr>
        <xdr:cNvPr id="1" name="TextBox 7"/>
        <xdr:cNvSpPr txBox="1">
          <a:spLocks noChangeArrowheads="1"/>
        </xdr:cNvSpPr>
      </xdr:nvSpPr>
      <xdr:spPr>
        <a:xfrm>
          <a:off x="114300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123825</xdr:rowOff>
    </xdr:from>
    <xdr:to>
      <xdr:col>14</xdr:col>
      <xdr:colOff>800100</xdr:colOff>
      <xdr:row>29</xdr:row>
      <xdr:rowOff>104775</xdr:rowOff>
    </xdr:to>
    <xdr:graphicFrame>
      <xdr:nvGraphicFramePr>
        <xdr:cNvPr id="2" name="Chart 3"/>
        <xdr:cNvGraphicFramePr/>
      </xdr:nvGraphicFramePr>
      <xdr:xfrm>
        <a:off x="0" y="514350"/>
        <a:ext cx="96012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2.140625" style="0" customWidth="1"/>
    <col min="2" max="2" width="103.00390625" style="0" customWidth="1"/>
  </cols>
  <sheetData>
    <row r="2" spans="1:2" ht="12.75">
      <c r="A2" s="559" t="s">
        <v>232</v>
      </c>
      <c r="B2" s="559"/>
    </row>
    <row r="4" spans="1:2" ht="24.75" customHeight="1">
      <c r="A4" s="495" t="s">
        <v>111</v>
      </c>
      <c r="B4" s="493" t="s">
        <v>252</v>
      </c>
    </row>
    <row r="5" spans="1:2" ht="24.75" customHeight="1">
      <c r="A5" s="495" t="s">
        <v>221</v>
      </c>
      <c r="B5" s="493" t="s">
        <v>253</v>
      </c>
    </row>
    <row r="6" spans="1:2" ht="24.75" customHeight="1">
      <c r="A6" s="495" t="s">
        <v>222</v>
      </c>
      <c r="B6" s="493" t="s">
        <v>254</v>
      </c>
    </row>
    <row r="7" spans="1:2" ht="24.75" customHeight="1">
      <c r="A7" s="495" t="s">
        <v>223</v>
      </c>
      <c r="B7" s="493" t="s">
        <v>255</v>
      </c>
    </row>
    <row r="8" spans="1:2" ht="24.75" customHeight="1">
      <c r="A8" s="495" t="s">
        <v>224</v>
      </c>
      <c r="B8" s="493" t="s">
        <v>256</v>
      </c>
    </row>
    <row r="9" spans="1:2" ht="24.75" customHeight="1">
      <c r="A9" s="495" t="s">
        <v>225</v>
      </c>
      <c r="B9" s="493" t="s">
        <v>257</v>
      </c>
    </row>
    <row r="10" spans="1:2" ht="24.75" customHeight="1">
      <c r="A10" s="495" t="s">
        <v>226</v>
      </c>
      <c r="B10" s="493" t="s">
        <v>258</v>
      </c>
    </row>
    <row r="11" spans="1:2" ht="24.75" customHeight="1">
      <c r="A11" s="495" t="s">
        <v>227</v>
      </c>
      <c r="B11" s="493" t="s">
        <v>259</v>
      </c>
    </row>
    <row r="12" spans="1:6" ht="24.75" customHeight="1">
      <c r="A12" s="495" t="s">
        <v>228</v>
      </c>
      <c r="B12" s="493" t="s">
        <v>229</v>
      </c>
      <c r="F12" s="494"/>
    </row>
    <row r="13" spans="1:2" ht="24.75" customHeight="1">
      <c r="A13" s="495" t="s">
        <v>230</v>
      </c>
      <c r="B13" s="493" t="s">
        <v>250</v>
      </c>
    </row>
    <row r="14" spans="1:2" ht="24.75" customHeight="1">
      <c r="A14" s="495" t="s">
        <v>231</v>
      </c>
      <c r="B14" s="493" t="s">
        <v>260</v>
      </c>
    </row>
  </sheetData>
  <sheetProtection/>
  <mergeCells count="1">
    <mergeCell ref="A2:B2"/>
  </mergeCells>
  <hyperlinks>
    <hyperlink ref="A4" location="'Anne-1'!A1" display="Annexure-1"/>
    <hyperlink ref="A5" location="'Anne-2'!A1" display="Annexure-2."/>
    <hyperlink ref="A6" location="'Anne-3'!A1" display=" Annexure-3."/>
    <hyperlink ref="A7" location="'Anne-4'!A1" display="Annexure-4."/>
    <hyperlink ref="A8" location="'Anne-5'!A1" display="Annexure-5."/>
    <hyperlink ref="A9" location="'Anne-6'!A1" display="Annexure-6."/>
    <hyperlink ref="A10" location="'Anne-7'!A1" display="Annexure-7."/>
    <hyperlink ref="A11" location="'Anne-8'!A1" display="Annexure-8."/>
    <hyperlink ref="A12" location="'Anne-9'!A1" display="Annexure-9."/>
    <hyperlink ref="A13" location="'Anne-10'!A1" display="Annexure-10."/>
    <hyperlink ref="A14" location="'Anne-11'!A1" display="Annexure-11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30" sqref="I30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'Anne-8'!B2</f>
        <v>No. 1-2(1)/Market Share/2013-CP&amp;M </v>
      </c>
      <c r="I1" s="29">
        <f>'Anne-1'!G2</f>
        <v>0</v>
      </c>
      <c r="P1" s="29" t="s">
        <v>175</v>
      </c>
    </row>
    <row r="2" ht="15.75">
      <c r="N2" s="29"/>
    </row>
    <row r="3" spans="2:14" ht="15.75">
      <c r="B3" s="29" t="s">
        <v>195</v>
      </c>
      <c r="N3" s="29"/>
    </row>
    <row r="4" spans="7:12" ht="15.75" thickBot="1">
      <c r="G4" s="74"/>
      <c r="H4" s="74"/>
      <c r="I4" s="74"/>
      <c r="J4" s="74"/>
      <c r="K4" s="74"/>
      <c r="L4" s="74"/>
    </row>
    <row r="5" spans="1:17" ht="33.75" customHeight="1">
      <c r="A5" s="582" t="s">
        <v>62</v>
      </c>
      <c r="B5" s="580" t="s">
        <v>159</v>
      </c>
      <c r="C5" s="585" t="s">
        <v>160</v>
      </c>
      <c r="D5" s="586"/>
      <c r="E5" s="586"/>
      <c r="F5" s="586"/>
      <c r="G5" s="587"/>
      <c r="H5" s="585" t="s">
        <v>161</v>
      </c>
      <c r="I5" s="586"/>
      <c r="J5" s="586"/>
      <c r="K5" s="586"/>
      <c r="L5" s="587"/>
      <c r="M5" s="585" t="s">
        <v>162</v>
      </c>
      <c r="N5" s="586"/>
      <c r="O5" s="586"/>
      <c r="P5" s="586"/>
      <c r="Q5" s="587"/>
    </row>
    <row r="6" spans="1:17" ht="16.5" customHeight="1">
      <c r="A6" s="583"/>
      <c r="B6" s="680"/>
      <c r="C6" s="584" t="s">
        <v>163</v>
      </c>
      <c r="D6" s="589"/>
      <c r="E6" s="589" t="s">
        <v>164</v>
      </c>
      <c r="F6" s="589"/>
      <c r="G6" s="588" t="s">
        <v>70</v>
      </c>
      <c r="H6" s="584" t="s">
        <v>163</v>
      </c>
      <c r="I6" s="589"/>
      <c r="J6" s="589" t="s">
        <v>164</v>
      </c>
      <c r="K6" s="589"/>
      <c r="L6" s="588" t="s">
        <v>70</v>
      </c>
      <c r="M6" s="584" t="s">
        <v>163</v>
      </c>
      <c r="N6" s="589"/>
      <c r="O6" s="589" t="s">
        <v>164</v>
      </c>
      <c r="P6" s="589"/>
      <c r="Q6" s="588" t="s">
        <v>70</v>
      </c>
    </row>
    <row r="7" spans="1:17" ht="22.5" customHeight="1">
      <c r="A7" s="584"/>
      <c r="B7" s="588"/>
      <c r="C7" s="584"/>
      <c r="D7" s="589"/>
      <c r="E7" s="589"/>
      <c r="F7" s="589"/>
      <c r="G7" s="588"/>
      <c r="H7" s="584"/>
      <c r="I7" s="589"/>
      <c r="J7" s="589"/>
      <c r="K7" s="589"/>
      <c r="L7" s="588"/>
      <c r="M7" s="584"/>
      <c r="N7" s="589"/>
      <c r="O7" s="589"/>
      <c r="P7" s="589"/>
      <c r="Q7" s="588"/>
    </row>
    <row r="8" spans="1:28" s="283" customFormat="1" ht="24.75" customHeight="1" thickBot="1">
      <c r="A8" s="278">
        <v>1</v>
      </c>
      <c r="B8" s="279" t="s">
        <v>165</v>
      </c>
      <c r="C8" s="681">
        <v>28.04</v>
      </c>
      <c r="D8" s="682"/>
      <c r="E8" s="683">
        <v>2.62</v>
      </c>
      <c r="F8" s="682"/>
      <c r="G8" s="280">
        <f>SUM(C8:F8)</f>
        <v>30.66</v>
      </c>
      <c r="H8" s="681">
        <v>23.93</v>
      </c>
      <c r="I8" s="682"/>
      <c r="J8" s="683">
        <v>0</v>
      </c>
      <c r="K8" s="682"/>
      <c r="L8" s="280">
        <f>SUM(H8:K8)</f>
        <v>23.93</v>
      </c>
      <c r="M8" s="685">
        <f>H8/C8*100</f>
        <v>85.34236804564908</v>
      </c>
      <c r="N8" s="686"/>
      <c r="O8" s="687">
        <f>J8/E8*100</f>
        <v>0</v>
      </c>
      <c r="P8" s="686"/>
      <c r="Q8" s="282">
        <f>L8/G8*100</f>
        <v>78.04957599478148</v>
      </c>
      <c r="S8" s="284"/>
      <c r="T8" s="285"/>
      <c r="U8" s="285"/>
      <c r="AA8" s="160">
        <v>29.14983</v>
      </c>
      <c r="AB8" s="160">
        <f>AA8/AA14*100</f>
        <v>815.7892380120263</v>
      </c>
    </row>
    <row r="9" ht="15.75" thickBot="1"/>
    <row r="10" spans="1:17" ht="33.75" customHeight="1">
      <c r="A10" s="582" t="s">
        <v>62</v>
      </c>
      <c r="B10" s="580" t="s">
        <v>159</v>
      </c>
      <c r="C10" s="585" t="s">
        <v>160</v>
      </c>
      <c r="D10" s="586"/>
      <c r="E10" s="586"/>
      <c r="F10" s="586"/>
      <c r="G10" s="587"/>
      <c r="H10" s="585" t="s">
        <v>161</v>
      </c>
      <c r="I10" s="586"/>
      <c r="J10" s="586"/>
      <c r="K10" s="586"/>
      <c r="L10" s="587"/>
      <c r="M10" s="585" t="s">
        <v>162</v>
      </c>
      <c r="N10" s="586"/>
      <c r="O10" s="586"/>
      <c r="P10" s="586"/>
      <c r="Q10" s="587"/>
    </row>
    <row r="11" spans="1:17" ht="16.5" customHeight="1">
      <c r="A11" s="583"/>
      <c r="B11" s="680"/>
      <c r="C11" s="584" t="s">
        <v>143</v>
      </c>
      <c r="D11" s="589" t="s">
        <v>141</v>
      </c>
      <c r="E11" s="589"/>
      <c r="F11" s="589"/>
      <c r="G11" s="588" t="s">
        <v>70</v>
      </c>
      <c r="H11" s="584" t="s">
        <v>143</v>
      </c>
      <c r="I11" s="589" t="s">
        <v>141</v>
      </c>
      <c r="J11" s="589"/>
      <c r="K11" s="589"/>
      <c r="L11" s="588" t="s">
        <v>70</v>
      </c>
      <c r="M11" s="584" t="s">
        <v>143</v>
      </c>
      <c r="N11" s="589" t="s">
        <v>141</v>
      </c>
      <c r="O11" s="589"/>
      <c r="P11" s="589"/>
      <c r="Q11" s="588" t="s">
        <v>70</v>
      </c>
    </row>
    <row r="12" spans="1:17" ht="21" customHeight="1">
      <c r="A12" s="584"/>
      <c r="B12" s="588"/>
      <c r="C12" s="584"/>
      <c r="D12" s="183" t="s">
        <v>131</v>
      </c>
      <c r="E12" s="183" t="s">
        <v>140</v>
      </c>
      <c r="F12" s="183" t="s">
        <v>89</v>
      </c>
      <c r="G12" s="588"/>
      <c r="H12" s="584"/>
      <c r="I12" s="183" t="s">
        <v>131</v>
      </c>
      <c r="J12" s="183" t="s">
        <v>140</v>
      </c>
      <c r="K12" s="183" t="s">
        <v>89</v>
      </c>
      <c r="L12" s="588"/>
      <c r="M12" s="584"/>
      <c r="N12" s="183" t="s">
        <v>131</v>
      </c>
      <c r="O12" s="183" t="s">
        <v>140</v>
      </c>
      <c r="P12" s="183" t="s">
        <v>89</v>
      </c>
      <c r="Q12" s="588"/>
    </row>
    <row r="13" spans="1:28" s="283" customFormat="1" ht="24.75" customHeight="1">
      <c r="A13" s="286">
        <v>2</v>
      </c>
      <c r="B13" s="287" t="s">
        <v>166</v>
      </c>
      <c r="C13" s="288">
        <v>32.512157</v>
      </c>
      <c r="D13" s="289">
        <v>0.074725</v>
      </c>
      <c r="E13" s="289">
        <v>3.577095</v>
      </c>
      <c r="F13" s="289">
        <f aca="true" t="shared" si="0" ref="F13:F26">SUM(D13:E13)</f>
        <v>3.65182</v>
      </c>
      <c r="G13" s="290">
        <f aca="true" t="shared" si="1" ref="G13:G26">C13+F13</f>
        <v>36.163977</v>
      </c>
      <c r="H13" s="288">
        <v>28.108976</v>
      </c>
      <c r="I13" s="289">
        <v>0</v>
      </c>
      <c r="J13" s="289">
        <v>0</v>
      </c>
      <c r="K13" s="289">
        <v>0</v>
      </c>
      <c r="L13" s="290">
        <f aca="true" t="shared" si="2" ref="L13:L26">H13+K13</f>
        <v>28.108976</v>
      </c>
      <c r="M13" s="291">
        <f>H13/C13*100</f>
        <v>86.45681675319172</v>
      </c>
      <c r="N13" s="292">
        <f>I13/D13*100</f>
        <v>0</v>
      </c>
      <c r="O13" s="292">
        <f>J13/E13*100</f>
        <v>0</v>
      </c>
      <c r="P13" s="292">
        <f>K13/F13*100</f>
        <v>0</v>
      </c>
      <c r="Q13" s="293">
        <f>L13/G13*100</f>
        <v>77.726451380057</v>
      </c>
      <c r="S13" s="284"/>
      <c r="T13" s="285"/>
      <c r="U13" s="285"/>
      <c r="AA13" s="160">
        <v>29.14983</v>
      </c>
      <c r="AB13" s="160">
        <f>AA13/AA19*100</f>
        <v>77.09726343320534</v>
      </c>
    </row>
    <row r="14" spans="1:28" s="283" customFormat="1" ht="24.75" customHeight="1">
      <c r="A14" s="286">
        <v>3</v>
      </c>
      <c r="B14" s="287" t="s">
        <v>167</v>
      </c>
      <c r="C14" s="288">
        <v>38.072367</v>
      </c>
      <c r="D14" s="289">
        <v>0.455953</v>
      </c>
      <c r="E14" s="289">
        <v>6.43152</v>
      </c>
      <c r="F14" s="289">
        <f t="shared" si="0"/>
        <v>6.887473</v>
      </c>
      <c r="G14" s="290">
        <f t="shared" si="1"/>
        <v>44.95984</v>
      </c>
      <c r="H14" s="288">
        <v>33.204489</v>
      </c>
      <c r="I14" s="289">
        <v>0.196699</v>
      </c>
      <c r="J14" s="289">
        <v>0.017677</v>
      </c>
      <c r="K14" s="289">
        <f aca="true" t="shared" si="3" ref="K14:K26">SUM(I14:J14)</f>
        <v>0.214376</v>
      </c>
      <c r="L14" s="290">
        <f t="shared" si="2"/>
        <v>33.418865000000004</v>
      </c>
      <c r="M14" s="291">
        <f aca="true" t="shared" si="4" ref="M14:Q22">H14/C14*100</f>
        <v>87.21414405361243</v>
      </c>
      <c r="N14" s="292">
        <f t="shared" si="4"/>
        <v>43.140192081201356</v>
      </c>
      <c r="O14" s="292">
        <f t="shared" si="4"/>
        <v>0.2748494912555663</v>
      </c>
      <c r="P14" s="292">
        <f t="shared" si="4"/>
        <v>3.1125494067272568</v>
      </c>
      <c r="Q14" s="293">
        <f t="shared" si="4"/>
        <v>74.33048026861306</v>
      </c>
      <c r="S14" s="284"/>
      <c r="T14" s="285"/>
      <c r="U14" s="285"/>
      <c r="V14" s="284"/>
      <c r="AA14" s="160">
        <v>3.573206</v>
      </c>
      <c r="AB14" s="160">
        <f>AA14/AA19*100</f>
        <v>9.450635021991891</v>
      </c>
    </row>
    <row r="15" spans="1:28" s="283" customFormat="1" ht="24.75" customHeight="1">
      <c r="A15" s="286">
        <v>4</v>
      </c>
      <c r="B15" s="287" t="s">
        <v>168</v>
      </c>
      <c r="C15" s="288">
        <v>40.745862</v>
      </c>
      <c r="D15" s="289">
        <v>1.137781</v>
      </c>
      <c r="E15" s="289">
        <v>12.687637</v>
      </c>
      <c r="F15" s="289">
        <f t="shared" si="0"/>
        <v>13.825418</v>
      </c>
      <c r="G15" s="290">
        <f t="shared" si="1"/>
        <v>54.57128</v>
      </c>
      <c r="H15" s="288">
        <v>35.416958</v>
      </c>
      <c r="I15" s="289">
        <v>0.515919</v>
      </c>
      <c r="J15" s="289">
        <v>2.256288</v>
      </c>
      <c r="K15" s="289">
        <f t="shared" si="3"/>
        <v>2.772207</v>
      </c>
      <c r="L15" s="290">
        <f t="shared" si="2"/>
        <v>38.189165</v>
      </c>
      <c r="M15" s="291">
        <f t="shared" si="4"/>
        <v>86.92160691066003</v>
      </c>
      <c r="N15" s="292">
        <f t="shared" si="4"/>
        <v>45.34431494285808</v>
      </c>
      <c r="O15" s="292">
        <f t="shared" si="4"/>
        <v>17.78335871368325</v>
      </c>
      <c r="P15" s="292">
        <f t="shared" si="4"/>
        <v>20.05152393945702</v>
      </c>
      <c r="Q15" s="293">
        <f t="shared" si="4"/>
        <v>69.98033581033833</v>
      </c>
      <c r="S15" s="284"/>
      <c r="T15" s="285"/>
      <c r="U15" s="285"/>
      <c r="V15" s="284"/>
      <c r="AA15" s="160">
        <v>2.756253</v>
      </c>
      <c r="AB15" s="160">
        <f>AA15/AA19*100</f>
        <v>7.2899074756032025</v>
      </c>
    </row>
    <row r="16" spans="1:28" s="283" customFormat="1" ht="24.75" customHeight="1">
      <c r="A16" s="286">
        <v>5</v>
      </c>
      <c r="B16" s="287" t="s">
        <v>169</v>
      </c>
      <c r="C16" s="288">
        <v>40.919515</v>
      </c>
      <c r="D16" s="289">
        <v>9.465588</v>
      </c>
      <c r="E16" s="289">
        <v>26.154405</v>
      </c>
      <c r="F16" s="289">
        <f t="shared" si="0"/>
        <v>35.619993</v>
      </c>
      <c r="G16" s="290">
        <f t="shared" si="1"/>
        <v>76.539508</v>
      </c>
      <c r="H16" s="288">
        <v>35.435637</v>
      </c>
      <c r="I16" s="289">
        <v>0.958792</v>
      </c>
      <c r="J16" s="289">
        <v>5.254117</v>
      </c>
      <c r="K16" s="289">
        <f t="shared" si="3"/>
        <v>6.212909</v>
      </c>
      <c r="L16" s="290">
        <f t="shared" si="2"/>
        <v>41.648545999999996</v>
      </c>
      <c r="M16" s="291">
        <f t="shared" si="4"/>
        <v>86.59837977063023</v>
      </c>
      <c r="N16" s="292">
        <f t="shared" si="4"/>
        <v>10.129238669589252</v>
      </c>
      <c r="O16" s="292">
        <f t="shared" si="4"/>
        <v>20.088841631075148</v>
      </c>
      <c r="P16" s="292">
        <f t="shared" si="4"/>
        <v>17.442196016153062</v>
      </c>
      <c r="Q16" s="293">
        <f t="shared" si="4"/>
        <v>54.41444175470791</v>
      </c>
      <c r="S16" s="284"/>
      <c r="T16" s="285"/>
      <c r="U16" s="285"/>
      <c r="V16" s="284"/>
      <c r="AA16" s="160">
        <v>1.115693</v>
      </c>
      <c r="AB16" s="160">
        <f>AA16/AA19*100</f>
        <v>2.950853474328432</v>
      </c>
    </row>
    <row r="17" spans="1:28" s="464" customFormat="1" ht="24.75" customHeight="1">
      <c r="A17" s="457">
        <v>6</v>
      </c>
      <c r="B17" s="458" t="s">
        <v>170</v>
      </c>
      <c r="C17" s="294">
        <v>41.349173</v>
      </c>
      <c r="D17" s="459">
        <v>16.007314</v>
      </c>
      <c r="E17" s="459">
        <v>41.066272</v>
      </c>
      <c r="F17" s="459">
        <f t="shared" si="0"/>
        <v>57.073586</v>
      </c>
      <c r="G17" s="460">
        <f t="shared" si="1"/>
        <v>98.422759</v>
      </c>
      <c r="H17" s="294">
        <v>35.859482</v>
      </c>
      <c r="I17" s="459">
        <v>1.628111</v>
      </c>
      <c r="J17" s="459">
        <v>9.447357</v>
      </c>
      <c r="K17" s="459">
        <f t="shared" si="3"/>
        <v>11.075468</v>
      </c>
      <c r="L17" s="460">
        <f t="shared" si="2"/>
        <v>46.93495</v>
      </c>
      <c r="M17" s="461">
        <f t="shared" si="4"/>
        <v>86.72357727686597</v>
      </c>
      <c r="N17" s="462">
        <f t="shared" si="4"/>
        <v>10.171044311369165</v>
      </c>
      <c r="O17" s="462">
        <f t="shared" si="4"/>
        <v>23.005148848183737</v>
      </c>
      <c r="P17" s="462">
        <f t="shared" si="4"/>
        <v>19.405593333490557</v>
      </c>
      <c r="Q17" s="463">
        <f t="shared" si="4"/>
        <v>47.68709034055833</v>
      </c>
      <c r="S17" s="465"/>
      <c r="T17" s="466"/>
      <c r="U17" s="466"/>
      <c r="V17" s="465"/>
      <c r="AA17" s="467">
        <v>0.929564</v>
      </c>
      <c r="AB17" s="467">
        <f>AA17/AA19*100</f>
        <v>2.4585680460580415</v>
      </c>
    </row>
    <row r="18" spans="1:28" s="283" customFormat="1" ht="24.75" customHeight="1">
      <c r="A18" s="286">
        <v>7</v>
      </c>
      <c r="B18" s="287" t="s">
        <v>171</v>
      </c>
      <c r="C18" s="288">
        <v>41.564713</v>
      </c>
      <c r="D18" s="289">
        <v>29.697012</v>
      </c>
      <c r="E18" s="289">
        <v>69.198304</v>
      </c>
      <c r="F18" s="289">
        <f t="shared" si="0"/>
        <v>98.895316</v>
      </c>
      <c r="G18" s="290">
        <f t="shared" si="1"/>
        <v>140.460029</v>
      </c>
      <c r="H18" s="288">
        <v>35.422889</v>
      </c>
      <c r="I18" s="289">
        <v>2.572525</v>
      </c>
      <c r="J18" s="289">
        <v>17.163761</v>
      </c>
      <c r="K18" s="289">
        <f t="shared" si="3"/>
        <v>19.736286</v>
      </c>
      <c r="L18" s="290">
        <f t="shared" si="2"/>
        <v>55.159175</v>
      </c>
      <c r="M18" s="291">
        <f t="shared" si="4"/>
        <v>85.22346587597032</v>
      </c>
      <c r="N18" s="292">
        <f t="shared" si="4"/>
        <v>8.662571843928271</v>
      </c>
      <c r="O18" s="292">
        <f t="shared" si="4"/>
        <v>24.803730738834297</v>
      </c>
      <c r="P18" s="292">
        <f t="shared" si="4"/>
        <v>19.956744968588808</v>
      </c>
      <c r="Q18" s="293">
        <f t="shared" si="4"/>
        <v>39.27037135952748</v>
      </c>
      <c r="S18" s="284"/>
      <c r="T18" s="285"/>
      <c r="U18" s="285"/>
      <c r="V18" s="284"/>
      <c r="AA18" s="160">
        <v>0.284617</v>
      </c>
      <c r="AB18" s="160">
        <f>AA18/AA19*100</f>
        <v>0.7527725488131013</v>
      </c>
    </row>
    <row r="19" spans="1:28" s="283" customFormat="1" ht="24.75" customHeight="1">
      <c r="A19" s="286">
        <v>8</v>
      </c>
      <c r="B19" s="287" t="s">
        <v>172</v>
      </c>
      <c r="C19" s="288">
        <v>40.773116</v>
      </c>
      <c r="D19" s="289">
        <v>44.623054</v>
      </c>
      <c r="E19" s="289">
        <v>121.43094</v>
      </c>
      <c r="F19" s="289">
        <f t="shared" si="0"/>
        <v>166.05399400000002</v>
      </c>
      <c r="G19" s="290">
        <f t="shared" si="1"/>
        <v>206.82711</v>
      </c>
      <c r="H19" s="288">
        <v>33.738604</v>
      </c>
      <c r="I19" s="289">
        <v>3.556263</v>
      </c>
      <c r="J19" s="289">
        <v>27.428658</v>
      </c>
      <c r="K19" s="289">
        <f t="shared" si="3"/>
        <v>30.984921</v>
      </c>
      <c r="L19" s="290">
        <f t="shared" si="2"/>
        <v>64.723525</v>
      </c>
      <c r="M19" s="291">
        <f t="shared" si="4"/>
        <v>82.7471807648942</v>
      </c>
      <c r="N19" s="292">
        <f t="shared" si="4"/>
        <v>7.9695643422343965</v>
      </c>
      <c r="O19" s="292">
        <f t="shared" si="4"/>
        <v>22.58786599197865</v>
      </c>
      <c r="P19" s="292">
        <f t="shared" si="4"/>
        <v>18.659545761964626</v>
      </c>
      <c r="Q19" s="293">
        <f t="shared" si="4"/>
        <v>31.29354029072881</v>
      </c>
      <c r="S19" s="284"/>
      <c r="T19" s="285"/>
      <c r="U19" s="285"/>
      <c r="V19" s="284"/>
      <c r="AA19" s="160">
        <f>SUM(AA13:AA18)</f>
        <v>37.809163</v>
      </c>
      <c r="AB19" s="160">
        <f>AA19/AA19*100</f>
        <v>100</v>
      </c>
    </row>
    <row r="20" spans="1:22" s="283" customFormat="1" ht="24.75" customHeight="1">
      <c r="A20" s="286">
        <v>9</v>
      </c>
      <c r="B20" s="287" t="s">
        <v>173</v>
      </c>
      <c r="C20" s="294">
        <v>39.415963</v>
      </c>
      <c r="D20" s="289">
        <v>68.380974</v>
      </c>
      <c r="E20" s="289">
        <v>192.355029</v>
      </c>
      <c r="F20" s="289">
        <f t="shared" si="0"/>
        <v>260.736003</v>
      </c>
      <c r="G20" s="290">
        <f t="shared" si="1"/>
        <v>300.15196599999996</v>
      </c>
      <c r="H20" s="288">
        <v>31.552296</v>
      </c>
      <c r="I20" s="289">
        <v>4.577732</v>
      </c>
      <c r="J20" s="289">
        <v>36.20904</v>
      </c>
      <c r="K20" s="289">
        <f t="shared" si="3"/>
        <v>40.786772</v>
      </c>
      <c r="L20" s="290">
        <f t="shared" si="2"/>
        <v>72.339068</v>
      </c>
      <c r="M20" s="291">
        <f t="shared" si="4"/>
        <v>80.04953729025979</v>
      </c>
      <c r="N20" s="292">
        <f t="shared" si="4"/>
        <v>6.694452758160479</v>
      </c>
      <c r="O20" s="292">
        <f t="shared" si="4"/>
        <v>18.82406724078943</v>
      </c>
      <c r="P20" s="292">
        <f t="shared" si="4"/>
        <v>15.642938271167713</v>
      </c>
      <c r="Q20" s="293">
        <f t="shared" si="4"/>
        <v>24.10081431883741</v>
      </c>
      <c r="S20" s="345"/>
      <c r="T20" s="285"/>
      <c r="U20" s="285"/>
      <c r="V20" s="284"/>
    </row>
    <row r="21" spans="1:22" s="283" customFormat="1" ht="24.75" customHeight="1">
      <c r="A21" s="286">
        <v>10</v>
      </c>
      <c r="B21" s="287" t="s">
        <v>174</v>
      </c>
      <c r="C21" s="288">
        <v>37.905555</v>
      </c>
      <c r="D21" s="289">
        <v>102.952086</v>
      </c>
      <c r="E21" s="289">
        <v>288.390629</v>
      </c>
      <c r="F21" s="289">
        <f t="shared" si="0"/>
        <v>391.342715</v>
      </c>
      <c r="G21" s="290">
        <f t="shared" si="1"/>
        <v>429.24827</v>
      </c>
      <c r="H21" s="288">
        <v>29.346431</v>
      </c>
      <c r="I21" s="289">
        <v>5.433038</v>
      </c>
      <c r="J21" s="289">
        <v>46.711196</v>
      </c>
      <c r="K21" s="289">
        <f t="shared" si="3"/>
        <v>52.144234</v>
      </c>
      <c r="L21" s="290">
        <f t="shared" si="2"/>
        <v>81.49066499999999</v>
      </c>
      <c r="M21" s="291">
        <f t="shared" si="4"/>
        <v>77.4198689347775</v>
      </c>
      <c r="N21" s="292">
        <f t="shared" si="4"/>
        <v>5.277249069047518</v>
      </c>
      <c r="O21" s="292">
        <f t="shared" si="4"/>
        <v>16.19719619946458</v>
      </c>
      <c r="P21" s="292">
        <f t="shared" si="4"/>
        <v>13.324442234730242</v>
      </c>
      <c r="Q21" s="293">
        <f t="shared" si="4"/>
        <v>18.98450633243088</v>
      </c>
      <c r="S21" s="345"/>
      <c r="T21" s="285"/>
      <c r="U21" s="285"/>
      <c r="V21" s="284"/>
    </row>
    <row r="22" spans="1:27" s="283" customFormat="1" ht="24.75" customHeight="1">
      <c r="A22" s="295">
        <v>11</v>
      </c>
      <c r="B22" s="296" t="s">
        <v>151</v>
      </c>
      <c r="C22" s="297">
        <v>36.942204999999994</v>
      </c>
      <c r="D22" s="299">
        <v>162.727327</v>
      </c>
      <c r="E22" s="298">
        <v>421.6797219999999</v>
      </c>
      <c r="F22" s="299">
        <f t="shared" si="0"/>
        <v>584.4070489999999</v>
      </c>
      <c r="G22" s="300">
        <f t="shared" si="1"/>
        <v>621.3492539999999</v>
      </c>
      <c r="H22" s="297">
        <v>27.83056</v>
      </c>
      <c r="I22" s="299">
        <v>6.144929</v>
      </c>
      <c r="J22" s="299">
        <v>63.305083</v>
      </c>
      <c r="K22" s="299">
        <f t="shared" si="3"/>
        <v>69.450012</v>
      </c>
      <c r="L22" s="300">
        <f t="shared" si="2"/>
        <v>97.280572</v>
      </c>
      <c r="M22" s="301">
        <f t="shared" si="4"/>
        <v>75.33540566947751</v>
      </c>
      <c r="N22" s="302">
        <f t="shared" si="4"/>
        <v>3.7762120925147378</v>
      </c>
      <c r="O22" s="302">
        <f t="shared" si="4"/>
        <v>15.012598353022064</v>
      </c>
      <c r="P22" s="302">
        <f t="shared" si="4"/>
        <v>11.88384228404473</v>
      </c>
      <c r="Q22" s="303">
        <f t="shared" si="4"/>
        <v>15.656343252003008</v>
      </c>
      <c r="S22" s="345"/>
      <c r="T22" s="285"/>
      <c r="U22" s="285"/>
      <c r="V22" s="284"/>
      <c r="AA22" s="283">
        <v>162044</v>
      </c>
    </row>
    <row r="23" spans="1:22" s="283" customFormat="1" ht="24.75" customHeight="1">
      <c r="A23" s="295">
        <v>12</v>
      </c>
      <c r="B23" s="296" t="s">
        <v>191</v>
      </c>
      <c r="C23" s="297">
        <v>34.724279</v>
      </c>
      <c r="D23" s="299">
        <v>225.920431</v>
      </c>
      <c r="E23" s="298">
        <v>585.6803009999999</v>
      </c>
      <c r="F23" s="299">
        <f t="shared" si="0"/>
        <v>811.6007319999999</v>
      </c>
      <c r="G23" s="300">
        <f t="shared" si="1"/>
        <v>846.3250109999999</v>
      </c>
      <c r="H23" s="297">
        <v>25.224905</v>
      </c>
      <c r="I23" s="299">
        <v>5.565437</v>
      </c>
      <c r="J23" s="299">
        <v>86.268689</v>
      </c>
      <c r="K23" s="299">
        <f>SUM(I23:J23)</f>
        <v>91.834126</v>
      </c>
      <c r="L23" s="300">
        <f>H23+K23</f>
        <v>117.059031</v>
      </c>
      <c r="M23" s="301">
        <f aca="true" t="shared" si="5" ref="M23:Q26">H23/C23*100</f>
        <v>72.64342335228903</v>
      </c>
      <c r="N23" s="302">
        <f t="shared" si="5"/>
        <v>2.463450063088805</v>
      </c>
      <c r="O23" s="302">
        <f t="shared" si="5"/>
        <v>14.72965521508978</v>
      </c>
      <c r="P23" s="302">
        <f t="shared" si="5"/>
        <v>11.315185211045375</v>
      </c>
      <c r="Q23" s="303">
        <f t="shared" si="5"/>
        <v>13.83145121301396</v>
      </c>
      <c r="S23" s="345"/>
      <c r="T23" s="285"/>
      <c r="U23" s="285"/>
      <c r="V23" s="284">
        <f>T23-T20</f>
        <v>0</v>
      </c>
    </row>
    <row r="24" spans="1:22" s="283" customFormat="1" ht="24.75" customHeight="1">
      <c r="A24" s="295">
        <v>13</v>
      </c>
      <c r="B24" s="296" t="s">
        <v>199</v>
      </c>
      <c r="C24" s="297">
        <v>32.15114</v>
      </c>
      <c r="D24" s="299">
        <v>224.340209</v>
      </c>
      <c r="E24" s="298">
        <v>695.756599</v>
      </c>
      <c r="F24" s="299">
        <f t="shared" si="0"/>
        <v>920.096808</v>
      </c>
      <c r="G24" s="300">
        <f t="shared" si="1"/>
        <v>952.247948</v>
      </c>
      <c r="H24" s="297">
        <v>22.467732</v>
      </c>
      <c r="I24" s="299">
        <v>4.003914</v>
      </c>
      <c r="J24" s="299">
        <v>94.509074</v>
      </c>
      <c r="K24" s="299">
        <f>SUM(I24:J24)</f>
        <v>98.51298799999999</v>
      </c>
      <c r="L24" s="300">
        <f>H24+K24</f>
        <v>120.98071999999999</v>
      </c>
      <c r="M24" s="301">
        <f aca="true" t="shared" si="6" ref="M24:Q25">H24/C24*100</f>
        <v>69.88160295404768</v>
      </c>
      <c r="N24" s="302">
        <f t="shared" si="6"/>
        <v>1.7847509449364918</v>
      </c>
      <c r="O24" s="302">
        <f t="shared" si="6"/>
        <v>13.583640332817021</v>
      </c>
      <c r="P24" s="302">
        <f t="shared" si="6"/>
        <v>10.706806842872995</v>
      </c>
      <c r="Q24" s="303">
        <f t="shared" si="6"/>
        <v>12.70474987676214</v>
      </c>
      <c r="S24" s="345"/>
      <c r="T24" s="285"/>
      <c r="U24" s="285"/>
      <c r="V24" s="284"/>
    </row>
    <row r="25" spans="1:22" s="283" customFormat="1" ht="24.75" customHeight="1">
      <c r="A25" s="295">
        <v>14</v>
      </c>
      <c r="B25" s="296" t="s">
        <v>205</v>
      </c>
      <c r="C25" s="297">
        <v>30.207668</v>
      </c>
      <c r="D25" s="299">
        <v>170.894202</v>
      </c>
      <c r="E25" s="298">
        <v>696.8919029999998</v>
      </c>
      <c r="F25" s="299">
        <f>SUM(D25:E25)</f>
        <v>867.7861049999999</v>
      </c>
      <c r="G25" s="300">
        <f>C25+F25</f>
        <v>897.9937729999999</v>
      </c>
      <c r="H25" s="297">
        <v>20.446062</v>
      </c>
      <c r="I25" s="299">
        <v>2.701813</v>
      </c>
      <c r="J25" s="299">
        <v>98.504812</v>
      </c>
      <c r="K25" s="299">
        <f>SUM(I25:J25)</f>
        <v>101.206625</v>
      </c>
      <c r="L25" s="300">
        <f>H25+K25</f>
        <v>121.652687</v>
      </c>
      <c r="M25" s="301">
        <f t="shared" si="6"/>
        <v>67.68500633680164</v>
      </c>
      <c r="N25" s="302">
        <f t="shared" si="6"/>
        <v>1.580985761003173</v>
      </c>
      <c r="O25" s="302">
        <f t="shared" si="6"/>
        <v>14.134876811734177</v>
      </c>
      <c r="P25" s="302">
        <f t="shared" si="6"/>
        <v>11.662623360395937</v>
      </c>
      <c r="Q25" s="303">
        <f t="shared" si="6"/>
        <v>13.547163761902837</v>
      </c>
      <c r="S25" s="345"/>
      <c r="T25" s="285"/>
      <c r="U25" s="285"/>
      <c r="V25" s="284"/>
    </row>
    <row r="26" spans="1:22" s="283" customFormat="1" ht="24.75" customHeight="1" thickBot="1">
      <c r="A26" s="278">
        <v>15</v>
      </c>
      <c r="B26" s="306" t="s">
        <v>241</v>
      </c>
      <c r="C26" s="305">
        <f>'Anne-2'!C22</f>
        <v>29.282878</v>
      </c>
      <c r="D26" s="307">
        <f>'Anne-2'!D22</f>
        <v>169.41892100000004</v>
      </c>
      <c r="E26" s="307">
        <f>'Anne-2'!E22</f>
        <v>711.26372</v>
      </c>
      <c r="F26" s="304">
        <f t="shared" si="0"/>
        <v>880.6826410000001</v>
      </c>
      <c r="G26" s="280">
        <f t="shared" si="1"/>
        <v>909.9655190000001</v>
      </c>
      <c r="H26" s="305">
        <f>'Anne-2'!C9</f>
        <v>19.368441</v>
      </c>
      <c r="I26" s="307">
        <f>'Anne-2'!D9</f>
        <v>2.385354</v>
      </c>
      <c r="J26" s="307">
        <f>'Anne-2'!E9</f>
        <v>95.472827</v>
      </c>
      <c r="K26" s="304">
        <f t="shared" si="3"/>
        <v>97.858181</v>
      </c>
      <c r="L26" s="280">
        <f t="shared" si="2"/>
        <v>117.226622</v>
      </c>
      <c r="M26" s="305">
        <f t="shared" si="5"/>
        <v>66.1425458249015</v>
      </c>
      <c r="N26" s="281">
        <f t="shared" si="5"/>
        <v>1.4079619831836843</v>
      </c>
      <c r="O26" s="281">
        <f t="shared" si="5"/>
        <v>13.422985640262938</v>
      </c>
      <c r="P26" s="281">
        <f t="shared" si="5"/>
        <v>11.111628235215775</v>
      </c>
      <c r="Q26" s="282">
        <f t="shared" si="5"/>
        <v>12.882534508431192</v>
      </c>
      <c r="S26" s="345"/>
      <c r="T26" s="285"/>
      <c r="V26" s="283">
        <f>V23/4</f>
        <v>0</v>
      </c>
    </row>
    <row r="27" ht="15">
      <c r="D27" s="74"/>
    </row>
    <row r="30" spans="6:11" ht="15">
      <c r="F30" s="161">
        <f>(F26-F22)/F22*100</f>
        <v>50.69678617103748</v>
      </c>
      <c r="K30" s="26">
        <f>(K26-K22)/K22*100</f>
        <v>40.90448393299054</v>
      </c>
    </row>
    <row r="35" spans="8:9" ht="15">
      <c r="H35" s="684"/>
      <c r="I35" s="684"/>
    </row>
    <row r="36" spans="8:9" ht="15">
      <c r="H36" s="684"/>
      <c r="I36" s="684"/>
    </row>
    <row r="37" spans="8:9" ht="15">
      <c r="H37" s="684"/>
      <c r="I37" s="684"/>
    </row>
    <row r="38" spans="8:9" ht="15">
      <c r="H38" s="684"/>
      <c r="I38" s="684"/>
    </row>
    <row r="43" ht="15">
      <c r="H43" s="379"/>
    </row>
  </sheetData>
  <sheetProtection/>
  <mergeCells count="38">
    <mergeCell ref="H37:I37"/>
    <mergeCell ref="H38:I38"/>
    <mergeCell ref="M8:N8"/>
    <mergeCell ref="O8:P8"/>
    <mergeCell ref="I11:K11"/>
    <mergeCell ref="L11:L12"/>
    <mergeCell ref="H35:I35"/>
    <mergeCell ref="H36:I36"/>
    <mergeCell ref="M11:M12"/>
    <mergeCell ref="N11:P11"/>
    <mergeCell ref="D11:F11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C8:D8"/>
    <mergeCell ref="E8:F8"/>
    <mergeCell ref="H8:I8"/>
    <mergeCell ref="J8:K8"/>
    <mergeCell ref="E6:F7"/>
    <mergeCell ref="G6:G7"/>
    <mergeCell ref="H6:I7"/>
    <mergeCell ref="C6:D7"/>
    <mergeCell ref="M6:N7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6" sqref="M26"/>
    </sheetView>
  </sheetViews>
  <sheetFormatPr defaultColWidth="9.140625" defaultRowHeight="12.75"/>
  <cols>
    <col min="1" max="1" width="9.140625" style="313" customWidth="1"/>
    <col min="2" max="6" width="9.421875" style="313" customWidth="1"/>
    <col min="7" max="9" width="10.140625" style="313" customWidth="1"/>
    <col min="10" max="10" width="10.57421875" style="313" customWidth="1"/>
    <col min="11" max="11" width="10.140625" style="313" customWidth="1"/>
    <col min="12" max="15" width="9.421875" style="313" customWidth="1"/>
    <col min="16" max="16" width="10.00390625" style="313" customWidth="1"/>
    <col min="17" max="17" width="9.140625" style="313" customWidth="1"/>
    <col min="18" max="18" width="22.8515625" style="313" customWidth="1"/>
    <col min="19" max="16384" width="9.140625" style="313" customWidth="1"/>
  </cols>
  <sheetData>
    <row r="1" spans="1:15" ht="15.75">
      <c r="A1" s="312" t="s">
        <v>272</v>
      </c>
      <c r="O1" s="312" t="s">
        <v>186</v>
      </c>
    </row>
    <row r="2" ht="15.75" thickBot="1"/>
    <row r="3" spans="1:16" ht="15">
      <c r="A3" s="693" t="s">
        <v>182</v>
      </c>
      <c r="B3" s="696" t="s">
        <v>183</v>
      </c>
      <c r="C3" s="697"/>
      <c r="D3" s="697"/>
      <c r="E3" s="697"/>
      <c r="F3" s="698"/>
      <c r="G3" s="696" t="s">
        <v>184</v>
      </c>
      <c r="H3" s="697"/>
      <c r="I3" s="697"/>
      <c r="J3" s="697"/>
      <c r="K3" s="698"/>
      <c r="L3" s="696" t="s">
        <v>120</v>
      </c>
      <c r="M3" s="697"/>
      <c r="N3" s="697"/>
      <c r="O3" s="697"/>
      <c r="P3" s="698"/>
    </row>
    <row r="4" spans="1:16" ht="15">
      <c r="A4" s="694"/>
      <c r="B4" s="690" t="s">
        <v>185</v>
      </c>
      <c r="C4" s="692" t="s">
        <v>141</v>
      </c>
      <c r="D4" s="692"/>
      <c r="E4" s="692"/>
      <c r="F4" s="688" t="s">
        <v>70</v>
      </c>
      <c r="G4" s="690" t="s">
        <v>185</v>
      </c>
      <c r="H4" s="692" t="s">
        <v>141</v>
      </c>
      <c r="I4" s="692"/>
      <c r="J4" s="692"/>
      <c r="K4" s="688" t="s">
        <v>70</v>
      </c>
      <c r="L4" s="690" t="s">
        <v>185</v>
      </c>
      <c r="M4" s="692" t="s">
        <v>141</v>
      </c>
      <c r="N4" s="692"/>
      <c r="O4" s="692"/>
      <c r="P4" s="688" t="s">
        <v>70</v>
      </c>
    </row>
    <row r="5" spans="1:16" ht="15.75" thickBot="1">
      <c r="A5" s="695"/>
      <c r="B5" s="691"/>
      <c r="C5" s="314" t="s">
        <v>140</v>
      </c>
      <c r="D5" s="314" t="s">
        <v>131</v>
      </c>
      <c r="E5" s="314" t="s">
        <v>47</v>
      </c>
      <c r="F5" s="689"/>
      <c r="G5" s="691"/>
      <c r="H5" s="314" t="s">
        <v>140</v>
      </c>
      <c r="I5" s="314" t="s">
        <v>131</v>
      </c>
      <c r="J5" s="314" t="s">
        <v>47</v>
      </c>
      <c r="K5" s="689"/>
      <c r="L5" s="691"/>
      <c r="M5" s="314" t="s">
        <v>140</v>
      </c>
      <c r="N5" s="314" t="s">
        <v>131</v>
      </c>
      <c r="O5" s="314" t="s">
        <v>47</v>
      </c>
      <c r="P5" s="689"/>
    </row>
    <row r="6" spans="1:18" ht="15.75" customHeight="1">
      <c r="A6" s="381">
        <v>41000</v>
      </c>
      <c r="B6" s="315">
        <v>-2.84062</v>
      </c>
      <c r="C6" s="316">
        <v>-3.58766</v>
      </c>
      <c r="D6" s="316">
        <v>-3.59284</v>
      </c>
      <c r="E6" s="316">
        <v>-7.1805</v>
      </c>
      <c r="F6" s="317">
        <v>-10.02112</v>
      </c>
      <c r="G6" s="315">
        <v>-2.75705</v>
      </c>
      <c r="H6" s="316">
        <v>62.10981</v>
      </c>
      <c r="I6" s="316">
        <v>-1.55431</v>
      </c>
      <c r="J6" s="316">
        <v>60.5555</v>
      </c>
      <c r="K6" s="317">
        <v>57.79845</v>
      </c>
      <c r="L6" s="514"/>
      <c r="M6" s="508"/>
      <c r="N6" s="508"/>
      <c r="O6" s="508"/>
      <c r="P6" s="509"/>
      <c r="R6" s="313">
        <f>H6*100000</f>
        <v>6210981</v>
      </c>
    </row>
    <row r="7" spans="1:16" ht="15.75" customHeight="1">
      <c r="A7" s="382">
        <v>41030</v>
      </c>
      <c r="B7" s="318">
        <v>-3.64006</v>
      </c>
      <c r="C7" s="319">
        <v>-0.22519</v>
      </c>
      <c r="D7" s="319">
        <v>-0.5929</v>
      </c>
      <c r="E7" s="319">
        <v>-0.81809</v>
      </c>
      <c r="F7" s="320">
        <v>-4.45815</v>
      </c>
      <c r="G7" s="318">
        <v>-3.5875</v>
      </c>
      <c r="H7" s="319">
        <v>21.20285</v>
      </c>
      <c r="I7" s="319">
        <v>11.13474</v>
      </c>
      <c r="J7" s="319">
        <v>32.337590000000006</v>
      </c>
      <c r="K7" s="320">
        <v>28.750090000000007</v>
      </c>
      <c r="L7" s="515"/>
      <c r="M7" s="505"/>
      <c r="N7" s="505"/>
      <c r="O7" s="505"/>
      <c r="P7" s="510"/>
    </row>
    <row r="8" spans="1:16" ht="15.75" customHeight="1">
      <c r="A8" s="382">
        <v>41061</v>
      </c>
      <c r="B8" s="318">
        <v>-1.09442</v>
      </c>
      <c r="C8" s="319">
        <v>6.5999</v>
      </c>
      <c r="D8" s="319">
        <v>-0.95842</v>
      </c>
      <c r="E8" s="319">
        <v>5.64148</v>
      </c>
      <c r="F8" s="320">
        <v>4.54706</v>
      </c>
      <c r="G8" s="318">
        <v>-1.17242</v>
      </c>
      <c r="H8" s="319">
        <v>64.93745</v>
      </c>
      <c r="I8" s="319">
        <v>-44.59592</v>
      </c>
      <c r="J8" s="319">
        <v>20.34153</v>
      </c>
      <c r="K8" s="320">
        <v>19.16911</v>
      </c>
      <c r="L8" s="515"/>
      <c r="M8" s="527">
        <f>C8/H8*100</f>
        <v>10.163472695647888</v>
      </c>
      <c r="N8" s="505"/>
      <c r="O8" s="527">
        <f>E8/J8*100</f>
        <v>27.733803701098196</v>
      </c>
      <c r="P8" s="528">
        <f>F8/K8*100</f>
        <v>23.720767422170358</v>
      </c>
    </row>
    <row r="9" spans="1:16" ht="15.75" customHeight="1">
      <c r="A9" s="382">
        <v>41091</v>
      </c>
      <c r="B9" s="318">
        <v>-0.94857</v>
      </c>
      <c r="C9" s="319">
        <v>6.81866</v>
      </c>
      <c r="D9" s="319">
        <v>-2.10314</v>
      </c>
      <c r="E9" s="319">
        <v>4.715520000000001</v>
      </c>
      <c r="F9" s="320">
        <v>3.7669500000000005</v>
      </c>
      <c r="G9" s="318">
        <v>-0.72608</v>
      </c>
      <c r="H9" s="319">
        <v>24.69893</v>
      </c>
      <c r="I9" s="319">
        <v>-203.53081</v>
      </c>
      <c r="J9" s="319">
        <v>-178.83188</v>
      </c>
      <c r="K9" s="320">
        <v>-179.55796</v>
      </c>
      <c r="L9" s="515"/>
      <c r="M9" s="505"/>
      <c r="N9" s="505"/>
      <c r="O9" s="505"/>
      <c r="P9" s="510"/>
    </row>
    <row r="10" spans="1:16" ht="15.75" customHeight="1" hidden="1">
      <c r="A10" s="382">
        <v>41122</v>
      </c>
      <c r="B10" s="318">
        <v>-1.24371</v>
      </c>
      <c r="C10" s="319">
        <v>5.82018</v>
      </c>
      <c r="D10" s="319">
        <v>-0.90656</v>
      </c>
      <c r="E10" s="319">
        <v>4.91362</v>
      </c>
      <c r="F10" s="320">
        <v>3.66991</v>
      </c>
      <c r="G10" s="318">
        <v>-1.1894</v>
      </c>
      <c r="H10" s="319">
        <v>-65.23839</v>
      </c>
      <c r="I10" s="319">
        <v>13.48999</v>
      </c>
      <c r="J10" s="319">
        <v>-51.7484</v>
      </c>
      <c r="K10" s="320">
        <v>-52.937799999999996</v>
      </c>
      <c r="L10" s="515"/>
      <c r="M10" s="505"/>
      <c r="N10" s="505"/>
      <c r="O10" s="505"/>
      <c r="P10" s="510"/>
    </row>
    <row r="11" spans="1:16" ht="15.75" customHeight="1" hidden="1">
      <c r="A11" s="382">
        <v>41153</v>
      </c>
      <c r="B11" s="325">
        <v>-1.27945</v>
      </c>
      <c r="C11" s="326">
        <v>4.54957</v>
      </c>
      <c r="D11" s="326">
        <v>-0.61941</v>
      </c>
      <c r="E11" s="319">
        <v>3.93016</v>
      </c>
      <c r="F11" s="320">
        <v>2.65071</v>
      </c>
      <c r="G11" s="325">
        <v>-1.25615</v>
      </c>
      <c r="H11" s="326">
        <v>-14.21437</v>
      </c>
      <c r="I11" s="326">
        <v>-3.24297</v>
      </c>
      <c r="J11" s="319">
        <v>-17.457340000000002</v>
      </c>
      <c r="K11" s="320">
        <v>-18.713490000000004</v>
      </c>
      <c r="L11" s="515"/>
      <c r="M11" s="505"/>
      <c r="N11" s="505"/>
      <c r="O11" s="505"/>
      <c r="P11" s="510"/>
    </row>
    <row r="12" spans="1:16" ht="15.75" customHeight="1" hidden="1">
      <c r="A12" s="382">
        <v>41183</v>
      </c>
      <c r="B12" s="325">
        <v>-1.46914</v>
      </c>
      <c r="C12" s="326">
        <v>4.38323</v>
      </c>
      <c r="D12" s="326">
        <v>-0.81175</v>
      </c>
      <c r="E12" s="319">
        <v>3.57148</v>
      </c>
      <c r="F12" s="320">
        <v>2.1023400000000003</v>
      </c>
      <c r="G12" s="325">
        <v>-1.38132</v>
      </c>
      <c r="H12" s="326">
        <v>5.97524</v>
      </c>
      <c r="I12" s="326">
        <v>-29.35126</v>
      </c>
      <c r="J12" s="319">
        <v>-23.37602</v>
      </c>
      <c r="K12" s="320">
        <v>-24.75734</v>
      </c>
      <c r="L12" s="515"/>
      <c r="M12" s="505"/>
      <c r="N12" s="505"/>
      <c r="O12" s="505"/>
      <c r="P12" s="510"/>
    </row>
    <row r="13" spans="1:16" ht="15.75" customHeight="1" hidden="1">
      <c r="A13" s="382">
        <v>41214</v>
      </c>
      <c r="B13" s="325">
        <v>-0.80704</v>
      </c>
      <c r="C13" s="329">
        <v>-0.30571</v>
      </c>
      <c r="D13" s="329">
        <v>-0.5045</v>
      </c>
      <c r="E13" s="319">
        <v>-0.8102099999999999</v>
      </c>
      <c r="F13" s="320">
        <v>-1.6172499999999999</v>
      </c>
      <c r="G13" s="325">
        <v>-0.76737</v>
      </c>
      <c r="H13" s="329">
        <v>-90.19644</v>
      </c>
      <c r="I13" s="329">
        <v>-46.26362</v>
      </c>
      <c r="J13" s="319">
        <v>-136.46006</v>
      </c>
      <c r="K13" s="320">
        <v>-137.22743</v>
      </c>
      <c r="L13" s="515"/>
      <c r="M13" s="505"/>
      <c r="N13" s="505"/>
      <c r="O13" s="505"/>
      <c r="P13" s="510"/>
    </row>
    <row r="14" spans="1:16" ht="15.75" customHeight="1" hidden="1">
      <c r="A14" s="382">
        <v>41244</v>
      </c>
      <c r="B14" s="325">
        <v>-0.94327</v>
      </c>
      <c r="C14" s="329">
        <v>1.78405</v>
      </c>
      <c r="D14" s="329">
        <v>-1.65392</v>
      </c>
      <c r="E14" s="319">
        <v>0.13012999999999986</v>
      </c>
      <c r="F14" s="320">
        <v>-0.8131400000000002</v>
      </c>
      <c r="G14" s="325">
        <v>-0.83371</v>
      </c>
      <c r="H14" s="329">
        <v>-66.62281</v>
      </c>
      <c r="I14" s="329">
        <v>-192.159</v>
      </c>
      <c r="J14" s="319">
        <v>-258.78181</v>
      </c>
      <c r="K14" s="320">
        <v>-259.61552</v>
      </c>
      <c r="L14" s="515"/>
      <c r="M14" s="505"/>
      <c r="N14" s="505"/>
      <c r="O14" s="505"/>
      <c r="P14" s="510"/>
    </row>
    <row r="15" spans="1:16" ht="15.75" customHeight="1" hidden="1">
      <c r="A15" s="382">
        <v>41275</v>
      </c>
      <c r="B15" s="325">
        <v>-2.81497</v>
      </c>
      <c r="C15" s="329">
        <v>3.68356</v>
      </c>
      <c r="D15" s="329">
        <v>-0.4981</v>
      </c>
      <c r="E15" s="329">
        <v>3.18546</v>
      </c>
      <c r="F15" s="333">
        <v>0.37048999999999976</v>
      </c>
      <c r="G15" s="325">
        <v>-2.64825</v>
      </c>
      <c r="H15" s="329">
        <v>18.2383</v>
      </c>
      <c r="I15" s="329">
        <v>-38.32713</v>
      </c>
      <c r="J15" s="329">
        <v>-20.088829999999998</v>
      </c>
      <c r="K15" s="333">
        <v>-22.73708</v>
      </c>
      <c r="L15" s="516"/>
      <c r="M15" s="511"/>
      <c r="N15" s="511"/>
      <c r="O15" s="511"/>
      <c r="P15" s="512"/>
    </row>
    <row r="16" spans="1:16" ht="15.75" customHeight="1" hidden="1">
      <c r="A16" s="382">
        <v>41306</v>
      </c>
      <c r="B16" s="325">
        <v>-1.68503</v>
      </c>
      <c r="C16" s="329">
        <v>4.88272</v>
      </c>
      <c r="D16" s="329">
        <v>-0.58598</v>
      </c>
      <c r="E16" s="329">
        <v>4.29674</v>
      </c>
      <c r="F16" s="333">
        <v>2.6117099999999995</v>
      </c>
      <c r="G16" s="325">
        <v>-1.77333</v>
      </c>
      <c r="H16" s="329">
        <v>-11.64706</v>
      </c>
      <c r="I16" s="329">
        <v>1.01908</v>
      </c>
      <c r="J16" s="329">
        <v>-10.627979999999999</v>
      </c>
      <c r="K16" s="333">
        <v>-12.401309999999999</v>
      </c>
      <c r="L16" s="516"/>
      <c r="M16" s="511"/>
      <c r="N16" s="511"/>
      <c r="O16" s="511"/>
      <c r="P16" s="512"/>
    </row>
    <row r="17" spans="1:16" ht="15.75" customHeight="1" hidden="1">
      <c r="A17" s="382">
        <v>41334</v>
      </c>
      <c r="B17" s="325">
        <v>-1.45042</v>
      </c>
      <c r="C17" s="329">
        <v>5.55407</v>
      </c>
      <c r="D17" s="329">
        <v>-0.19349</v>
      </c>
      <c r="E17" s="329">
        <v>5.360580000000001</v>
      </c>
      <c r="F17" s="333">
        <v>3.9101600000000003</v>
      </c>
      <c r="G17" s="325">
        <v>-1.34214</v>
      </c>
      <c r="H17" s="329">
        <v>62.10953</v>
      </c>
      <c r="I17" s="329">
        <v>-1.07886</v>
      </c>
      <c r="J17" s="329">
        <v>61.03067</v>
      </c>
      <c r="K17" s="333">
        <v>59.68853</v>
      </c>
      <c r="L17" s="516"/>
      <c r="M17" s="511"/>
      <c r="N17" s="511"/>
      <c r="O17" s="511"/>
      <c r="P17" s="512"/>
    </row>
    <row r="18" spans="1:16" ht="15.75" customHeight="1">
      <c r="A18" s="523">
        <v>41122</v>
      </c>
      <c r="B18" s="325">
        <v>-1.24371</v>
      </c>
      <c r="C18" s="329">
        <v>5.82018</v>
      </c>
      <c r="D18" s="329">
        <v>-0.90656</v>
      </c>
      <c r="E18" s="329">
        <v>4.91362</v>
      </c>
      <c r="F18" s="333">
        <v>3.66991</v>
      </c>
      <c r="G18" s="325">
        <v>-1.1894</v>
      </c>
      <c r="H18" s="329">
        <v>-65.23839</v>
      </c>
      <c r="I18" s="329">
        <v>13.48999</v>
      </c>
      <c r="J18" s="329">
        <v>-51.7484</v>
      </c>
      <c r="K18" s="333">
        <v>-52.937799999999996</v>
      </c>
      <c r="L18" s="516"/>
      <c r="M18" s="511"/>
      <c r="N18" s="511"/>
      <c r="O18" s="511"/>
      <c r="P18" s="512"/>
    </row>
    <row r="19" spans="1:16" ht="15.75" customHeight="1">
      <c r="A19" s="523">
        <v>41153</v>
      </c>
      <c r="B19" s="325">
        <v>-1.27945</v>
      </c>
      <c r="C19" s="329">
        <v>4.54957</v>
      </c>
      <c r="D19" s="329">
        <v>-0.61941</v>
      </c>
      <c r="E19" s="329">
        <v>3.93016</v>
      </c>
      <c r="F19" s="333">
        <v>2.65071</v>
      </c>
      <c r="G19" s="325">
        <v>-1.25615</v>
      </c>
      <c r="H19" s="329">
        <v>-14.21437</v>
      </c>
      <c r="I19" s="329">
        <v>-3.24297</v>
      </c>
      <c r="J19" s="329">
        <v>-17.457340000000002</v>
      </c>
      <c r="K19" s="333">
        <v>-18.713490000000004</v>
      </c>
      <c r="L19" s="516"/>
      <c r="M19" s="511"/>
      <c r="N19" s="511"/>
      <c r="O19" s="511"/>
      <c r="P19" s="512"/>
    </row>
    <row r="20" spans="1:16" s="312" customFormat="1" ht="15.75" customHeight="1" thickBot="1">
      <c r="A20" s="394" t="s">
        <v>47</v>
      </c>
      <c r="B20" s="321">
        <f>SUM(B6:B9)</f>
        <v>-8.52367</v>
      </c>
      <c r="C20" s="322">
        <f aca="true" t="shared" si="0" ref="C20:K20">SUM(C6:C9)</f>
        <v>9.60571</v>
      </c>
      <c r="D20" s="322">
        <f t="shared" si="0"/>
        <v>-7.2473</v>
      </c>
      <c r="E20" s="322">
        <f t="shared" si="0"/>
        <v>2.35841</v>
      </c>
      <c r="F20" s="323">
        <f t="shared" si="0"/>
        <v>-6.165259999999999</v>
      </c>
      <c r="G20" s="321">
        <f t="shared" si="0"/>
        <v>-8.24305</v>
      </c>
      <c r="H20" s="322">
        <f t="shared" si="0"/>
        <v>172.94904</v>
      </c>
      <c r="I20" s="322">
        <f t="shared" si="0"/>
        <v>-238.5463</v>
      </c>
      <c r="J20" s="322">
        <f t="shared" si="0"/>
        <v>-65.59726</v>
      </c>
      <c r="K20" s="323">
        <f t="shared" si="0"/>
        <v>-73.84031</v>
      </c>
      <c r="L20" s="517"/>
      <c r="M20" s="506"/>
      <c r="N20" s="506"/>
      <c r="O20" s="506"/>
      <c r="P20" s="513"/>
    </row>
    <row r="21" spans="1:16" s="312" customFormat="1" ht="15.75" customHeight="1">
      <c r="A21" s="523">
        <v>41365</v>
      </c>
      <c r="B21" s="325">
        <v>-2.80336</v>
      </c>
      <c r="C21" s="326">
        <v>-21.48903</v>
      </c>
      <c r="D21" s="326">
        <v>-0.87138</v>
      </c>
      <c r="E21" s="326">
        <f aca="true" t="shared" si="1" ref="E21:E26">SUM(C21:D21)</f>
        <v>-22.360409999999998</v>
      </c>
      <c r="F21" s="524">
        <f>B21+E21</f>
        <v>-25.16377</v>
      </c>
      <c r="G21" s="325">
        <v>-3.07771</v>
      </c>
      <c r="H21" s="326">
        <v>16.437789988292455</v>
      </c>
      <c r="I21" s="326">
        <v>-23.22487</v>
      </c>
      <c r="J21" s="326">
        <f>SUM(H21:I21)</f>
        <v>-6.787080011707545</v>
      </c>
      <c r="K21" s="524">
        <f>J21+G21</f>
        <v>-9.864790011707544</v>
      </c>
      <c r="L21" s="520"/>
      <c r="M21" s="521"/>
      <c r="N21" s="521"/>
      <c r="O21" s="521"/>
      <c r="P21" s="522"/>
    </row>
    <row r="22" spans="1:16" s="312" customFormat="1" ht="15.75" customHeight="1">
      <c r="A22" s="523">
        <v>41395</v>
      </c>
      <c r="B22" s="325">
        <v>-1.49936</v>
      </c>
      <c r="C22" s="326">
        <v>-8.83479</v>
      </c>
      <c r="D22" s="326">
        <v>-0.2079</v>
      </c>
      <c r="E22" s="326">
        <f t="shared" si="1"/>
        <v>-9.04269</v>
      </c>
      <c r="F22" s="524">
        <f>B22+E22</f>
        <v>-10.54205</v>
      </c>
      <c r="G22" s="325">
        <v>-0.51245</v>
      </c>
      <c r="H22" s="326">
        <v>22.609780011707546</v>
      </c>
      <c r="I22" s="326">
        <v>9.85827</v>
      </c>
      <c r="J22" s="326">
        <f>SUM(H22:I22)</f>
        <v>32.46805001170755</v>
      </c>
      <c r="K22" s="524">
        <f>J22+G22</f>
        <v>31.955600011707546</v>
      </c>
      <c r="L22" s="520"/>
      <c r="M22" s="521"/>
      <c r="N22" s="521"/>
      <c r="O22" s="521"/>
      <c r="P22" s="522"/>
    </row>
    <row r="23" spans="1:16" s="312" customFormat="1" ht="15.75" customHeight="1">
      <c r="A23" s="382">
        <v>41426</v>
      </c>
      <c r="B23" s="325">
        <v>-1.25494</v>
      </c>
      <c r="C23" s="326">
        <v>-0.59881</v>
      </c>
      <c r="D23" s="326">
        <v>-0.15714</v>
      </c>
      <c r="E23" s="326">
        <f t="shared" si="1"/>
        <v>-0.7559499999999999</v>
      </c>
      <c r="F23" s="524">
        <f>B23+E23</f>
        <v>-2.01089</v>
      </c>
      <c r="G23" s="325">
        <v>-1.13375</v>
      </c>
      <c r="H23" s="326">
        <v>37.35378</v>
      </c>
      <c r="I23" s="326">
        <v>-4.73819</v>
      </c>
      <c r="J23" s="326">
        <f>SUM(H23:I23)</f>
        <v>32.61559</v>
      </c>
      <c r="K23" s="524">
        <f>J23+G23</f>
        <v>31.48184</v>
      </c>
      <c r="L23" s="520"/>
      <c r="M23" s="521"/>
      <c r="N23" s="521"/>
      <c r="O23" s="521"/>
      <c r="P23" s="522"/>
    </row>
    <row r="24" spans="1:16" ht="15.75" customHeight="1">
      <c r="A24" s="382">
        <v>41456</v>
      </c>
      <c r="B24" s="318">
        <f>('Anne-8'!D42)/100000</f>
        <v>-2.05388</v>
      </c>
      <c r="C24" s="319">
        <f>('Anne-6'!D43)/100000</f>
        <v>0.12521</v>
      </c>
      <c r="D24" s="319">
        <f>'Anne-7'!F42/100000</f>
        <v>-0.87087</v>
      </c>
      <c r="E24" s="319">
        <f t="shared" si="1"/>
        <v>-0.74566</v>
      </c>
      <c r="F24" s="320">
        <f>E24+B24</f>
        <v>-2.79954</v>
      </c>
      <c r="G24" s="318">
        <v>-1.53233</v>
      </c>
      <c r="H24" s="319">
        <v>17.11512</v>
      </c>
      <c r="I24" s="319">
        <v>-4.88959</v>
      </c>
      <c r="J24" s="319">
        <v>12.225530000000001</v>
      </c>
      <c r="K24" s="320">
        <v>10.693200000000001</v>
      </c>
      <c r="L24" s="515"/>
      <c r="M24" s="527">
        <f>C24/H24*100</f>
        <v>0.7315753555920145</v>
      </c>
      <c r="N24" s="511"/>
      <c r="O24" s="505"/>
      <c r="P24" s="512"/>
    </row>
    <row r="25" spans="1:16" ht="15.75" customHeight="1">
      <c r="A25" s="523">
        <v>41487</v>
      </c>
      <c r="B25" s="325">
        <v>-1.39</v>
      </c>
      <c r="C25" s="326">
        <v>-0.65</v>
      </c>
      <c r="D25" s="326">
        <v>-0.66</v>
      </c>
      <c r="E25" s="326">
        <f t="shared" si="1"/>
        <v>-1.31</v>
      </c>
      <c r="F25" s="524">
        <f>E25+B25</f>
        <v>-2.7</v>
      </c>
      <c r="G25" s="535">
        <f>'Anne-8'!O42/100000</f>
        <v>-1.77833</v>
      </c>
      <c r="H25" s="326">
        <f>'Anne-6'!Z43/100000</f>
        <v>28.93957</v>
      </c>
      <c r="I25" s="535">
        <f>'Anne-7'!N42/100000</f>
        <v>10.84975</v>
      </c>
      <c r="J25" s="326">
        <f>SUM(H25:I25)</f>
        <v>39.789320000000004</v>
      </c>
      <c r="K25" s="524">
        <f>J25+G25</f>
        <v>38.01099000000001</v>
      </c>
      <c r="L25" s="516"/>
      <c r="M25" s="511"/>
      <c r="N25" s="511"/>
      <c r="O25" s="511"/>
      <c r="P25" s="512"/>
    </row>
    <row r="26" spans="1:16" ht="15.75" customHeight="1">
      <c r="A26" s="523">
        <v>41518</v>
      </c>
      <c r="B26" s="325">
        <v>-2.05</v>
      </c>
      <c r="C26" s="326">
        <v>0.12</v>
      </c>
      <c r="D26" s="326">
        <v>-0.84</v>
      </c>
      <c r="E26" s="326">
        <f t="shared" si="1"/>
        <v>-0.72</v>
      </c>
      <c r="F26" s="524">
        <f>E26+B26</f>
        <v>-2.7699999999999996</v>
      </c>
      <c r="G26" s="543">
        <v>-1.77</v>
      </c>
      <c r="H26" s="326">
        <v>28.93</v>
      </c>
      <c r="I26" s="536">
        <v>10.84</v>
      </c>
      <c r="J26" s="326">
        <f>SUM(H26:I26)</f>
        <v>39.769999999999996</v>
      </c>
      <c r="K26" s="524">
        <f>J26+G26</f>
        <v>37.99999999999999</v>
      </c>
      <c r="L26" s="516"/>
      <c r="M26" s="544">
        <f>C26/H26*100</f>
        <v>0.41479433114414105</v>
      </c>
      <c r="N26" s="511"/>
      <c r="O26" s="511"/>
      <c r="P26" s="512"/>
    </row>
    <row r="27" spans="1:16" s="312" customFormat="1" ht="15.75" customHeight="1" thickBot="1">
      <c r="A27" s="395" t="s">
        <v>47</v>
      </c>
      <c r="B27" s="321">
        <f>SUM(B21:B26)</f>
        <v>-11.05154</v>
      </c>
      <c r="C27" s="322">
        <f>SUM(C21:C26)</f>
        <v>-31.327419999999996</v>
      </c>
      <c r="D27" s="322">
        <f>SUM(D21:D26)</f>
        <v>-3.60729</v>
      </c>
      <c r="E27" s="322">
        <f>SUM(E21:E24)</f>
        <v>-32.90471</v>
      </c>
      <c r="F27" s="323">
        <f>SUM(F21:F24)</f>
        <v>-40.51625000000001</v>
      </c>
      <c r="G27" s="321">
        <f>SUM(G21:G26)</f>
        <v>-9.80457</v>
      </c>
      <c r="H27" s="322">
        <f>SUM(H21:H26)</f>
        <v>151.38604</v>
      </c>
      <c r="I27" s="322">
        <f>SUM(I21:I26)</f>
        <v>-1.3046299999999995</v>
      </c>
      <c r="J27" s="322">
        <f>SUM(J21:J25)</f>
        <v>110.31141000000001</v>
      </c>
      <c r="K27" s="323">
        <f>SUM(K21:K25)</f>
        <v>102.27684</v>
      </c>
      <c r="L27" s="517"/>
      <c r="M27" s="506"/>
      <c r="N27" s="518"/>
      <c r="O27" s="518"/>
      <c r="P27" s="519"/>
    </row>
    <row r="28" spans="1:16" s="312" customFormat="1" ht="19.5" customHeight="1">
      <c r="A28" s="489"/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1"/>
      <c r="M28" s="491"/>
      <c r="N28" s="492"/>
      <c r="O28" s="492"/>
      <c r="P28" s="492"/>
    </row>
    <row r="29" ht="15.75">
      <c r="A29" s="312" t="s">
        <v>220</v>
      </c>
    </row>
    <row r="31" spans="8:10" ht="15">
      <c r="H31" s="537"/>
      <c r="I31" s="539"/>
      <c r="J31" s="540"/>
    </row>
    <row r="32" spans="7:16" ht="15">
      <c r="G32" s="534"/>
      <c r="I32" s="538"/>
      <c r="P32" s="555"/>
    </row>
    <row r="33" ht="15">
      <c r="H33" s="324"/>
    </row>
    <row r="38" ht="15">
      <c r="I38" s="335"/>
    </row>
  </sheetData>
  <sheetProtection/>
  <mergeCells count="13"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  <mergeCell ref="K4:K5"/>
    <mergeCell ref="L4:L5"/>
    <mergeCell ref="M4:O4"/>
  </mergeCells>
  <printOptions horizontalCentered="1"/>
  <pageMargins left="0.1968503937007874" right="0.1968503937007874" top="1.377952755905511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B34" sqref="B34"/>
    </sheetView>
  </sheetViews>
  <sheetFormatPr defaultColWidth="9.140625" defaultRowHeight="12.75"/>
  <cols>
    <col min="1" max="1" width="18.7109375" style="473" customWidth="1"/>
    <col min="2" max="2" width="10.140625" style="473" customWidth="1"/>
    <col min="3" max="3" width="10.28125" style="473" customWidth="1"/>
    <col min="4" max="4" width="11.00390625" style="473" customWidth="1"/>
    <col min="5" max="6" width="8.8515625" style="473" customWidth="1"/>
    <col min="7" max="7" width="7.7109375" style="473" customWidth="1"/>
    <col min="8" max="8" width="8.00390625" style="473" customWidth="1"/>
    <col min="9" max="9" width="7.57421875" style="473" customWidth="1"/>
    <col min="10" max="10" width="7.8515625" style="473" customWidth="1"/>
    <col min="11" max="11" width="9.00390625" style="473" customWidth="1"/>
    <col min="12" max="12" width="7.7109375" style="473" customWidth="1"/>
    <col min="13" max="13" width="9.00390625" style="473" customWidth="1"/>
    <col min="14" max="14" width="7.28125" style="473" customWidth="1"/>
    <col min="15" max="15" width="12.28125" style="473" customWidth="1"/>
    <col min="16" max="16384" width="9.140625" style="473" customWidth="1"/>
  </cols>
  <sheetData>
    <row r="1" spans="1:13" ht="15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 t="s">
        <v>216</v>
      </c>
      <c r="L1" s="380"/>
      <c r="M1" s="380"/>
    </row>
    <row r="2" spans="1:13" ht="15.75">
      <c r="A2" s="480" t="s">
        <v>273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1:13" ht="15">
      <c r="A3" s="380"/>
      <c r="B3" s="380"/>
      <c r="C3" s="380"/>
      <c r="D3" s="380"/>
      <c r="E3" s="380"/>
      <c r="F3" s="380"/>
      <c r="G3" s="380"/>
      <c r="H3" s="380"/>
      <c r="I3" s="380"/>
      <c r="J3" s="380"/>
      <c r="M3" s="380"/>
    </row>
    <row r="4" spans="1:4" ht="29.25" customHeight="1">
      <c r="A4" s="475" t="s">
        <v>212</v>
      </c>
      <c r="B4" s="476" t="s">
        <v>213</v>
      </c>
      <c r="C4" s="476" t="s">
        <v>214</v>
      </c>
      <c r="D4" s="476" t="s">
        <v>215</v>
      </c>
    </row>
    <row r="5" spans="1:13" ht="14.25">
      <c r="A5" s="3" t="s">
        <v>67</v>
      </c>
      <c r="B5" s="455">
        <v>126.020313</v>
      </c>
      <c r="C5" s="455">
        <f aca="true" t="shared" si="0" ref="C5:C17">B5*D5%</f>
        <v>123.247866114</v>
      </c>
      <c r="D5" s="545">
        <v>97.8</v>
      </c>
      <c r="F5" s="473" t="s">
        <v>67</v>
      </c>
      <c r="G5" s="474">
        <v>126.020313</v>
      </c>
      <c r="H5" s="473">
        <f aca="true" t="shared" si="1" ref="H5:H17">G5*I5%</f>
        <v>123.247866114</v>
      </c>
      <c r="I5" s="473">
        <v>97.8</v>
      </c>
      <c r="M5" s="474"/>
    </row>
    <row r="6" spans="1:13" ht="14.25">
      <c r="A6" s="3" t="s">
        <v>209</v>
      </c>
      <c r="B6" s="455">
        <v>154.337363</v>
      </c>
      <c r="C6" s="455">
        <f t="shared" si="0"/>
        <v>148.0712660622</v>
      </c>
      <c r="D6" s="545">
        <v>95.94</v>
      </c>
      <c r="F6" s="473" t="s">
        <v>209</v>
      </c>
      <c r="G6" s="474">
        <v>154.337363</v>
      </c>
      <c r="H6" s="473">
        <f t="shared" si="1"/>
        <v>148.0712660622</v>
      </c>
      <c r="I6" s="473">
        <v>95.94</v>
      </c>
      <c r="M6" s="474"/>
    </row>
    <row r="7" spans="1:13" ht="14.25">
      <c r="A7" s="3" t="s">
        <v>75</v>
      </c>
      <c r="B7" s="455">
        <v>192.222866</v>
      </c>
      <c r="C7" s="455">
        <f t="shared" si="0"/>
        <v>182.707834133</v>
      </c>
      <c r="D7" s="545">
        <v>95.05</v>
      </c>
      <c r="F7" s="473" t="s">
        <v>75</v>
      </c>
      <c r="G7" s="474">
        <v>192.222866</v>
      </c>
      <c r="H7" s="473">
        <f t="shared" si="1"/>
        <v>182.707834133</v>
      </c>
      <c r="I7" s="473">
        <v>95.05</v>
      </c>
      <c r="M7" s="474"/>
    </row>
    <row r="8" spans="1:13" ht="14.25">
      <c r="A8" s="3" t="s">
        <v>65</v>
      </c>
      <c r="B8" s="455">
        <v>126.755483</v>
      </c>
      <c r="C8" s="455">
        <f t="shared" si="0"/>
        <v>109.8716526644</v>
      </c>
      <c r="D8" s="545">
        <v>86.68</v>
      </c>
      <c r="F8" s="473" t="s">
        <v>65</v>
      </c>
      <c r="G8" s="474">
        <v>126.755483</v>
      </c>
      <c r="H8" s="473">
        <f t="shared" si="1"/>
        <v>109.8716526644</v>
      </c>
      <c r="I8" s="473">
        <v>86.68</v>
      </c>
      <c r="M8" s="474"/>
    </row>
    <row r="9" spans="1:13" ht="14.25">
      <c r="A9" s="3" t="s">
        <v>210</v>
      </c>
      <c r="B9" s="455">
        <v>63.690505</v>
      </c>
      <c r="C9" s="455">
        <f t="shared" si="0"/>
        <v>43.538829218000004</v>
      </c>
      <c r="D9" s="545">
        <v>68.36</v>
      </c>
      <c r="F9" s="473" t="s">
        <v>210</v>
      </c>
      <c r="G9" s="474">
        <v>63.690505</v>
      </c>
      <c r="H9" s="473">
        <f t="shared" si="1"/>
        <v>43.538829218000004</v>
      </c>
      <c r="I9" s="473">
        <v>68.36</v>
      </c>
      <c r="M9" s="474"/>
    </row>
    <row r="10" spans="1:13" ht="14.25">
      <c r="A10" s="3" t="s">
        <v>136</v>
      </c>
      <c r="B10" s="455">
        <v>32.253714</v>
      </c>
      <c r="C10" s="455">
        <f t="shared" si="0"/>
        <v>22.2615134028</v>
      </c>
      <c r="D10" s="545">
        <v>69.02</v>
      </c>
      <c r="F10" s="473" t="s">
        <v>136</v>
      </c>
      <c r="G10" s="474">
        <v>32.253714</v>
      </c>
      <c r="H10" s="474">
        <f t="shared" si="1"/>
        <v>22.2615134028</v>
      </c>
      <c r="I10" s="473">
        <v>69.02</v>
      </c>
      <c r="M10" s="474"/>
    </row>
    <row r="11" spans="1:13" ht="14.25">
      <c r="A11" s="3" t="s">
        <v>68</v>
      </c>
      <c r="B11" s="455">
        <v>62.60238</v>
      </c>
      <c r="C11" s="455">
        <f t="shared" si="0"/>
        <v>39.965359392</v>
      </c>
      <c r="D11" s="545">
        <v>63.84</v>
      </c>
      <c r="F11" s="473" t="s">
        <v>68</v>
      </c>
      <c r="G11" s="474">
        <v>62.60238</v>
      </c>
      <c r="H11" s="473">
        <f t="shared" si="1"/>
        <v>39.965359392</v>
      </c>
      <c r="I11" s="473">
        <v>63.84</v>
      </c>
      <c r="M11" s="474"/>
    </row>
    <row r="12" spans="1:13" ht="14.25">
      <c r="A12" s="3" t="s">
        <v>249</v>
      </c>
      <c r="B12" s="455">
        <v>1.607012</v>
      </c>
      <c r="C12" s="455">
        <f t="shared" si="0"/>
        <v>0.920817876</v>
      </c>
      <c r="D12" s="545">
        <v>57.3</v>
      </c>
      <c r="F12" s="473" t="s">
        <v>249</v>
      </c>
      <c r="G12" s="474">
        <v>1.607012</v>
      </c>
      <c r="H12" s="473">
        <f t="shared" si="1"/>
        <v>0.920817876</v>
      </c>
      <c r="I12" s="473">
        <v>57.3</v>
      </c>
      <c r="M12" s="474"/>
    </row>
    <row r="13" spans="1:13" ht="14.25">
      <c r="A13" s="3" t="s">
        <v>146</v>
      </c>
      <c r="B13" s="455">
        <v>2.929783</v>
      </c>
      <c r="C13" s="455">
        <f t="shared" si="0"/>
        <v>1.5548358380999998</v>
      </c>
      <c r="D13" s="545">
        <v>53.07</v>
      </c>
      <c r="F13" s="473" t="s">
        <v>146</v>
      </c>
      <c r="G13" s="474">
        <v>2.929783</v>
      </c>
      <c r="H13" s="473">
        <f t="shared" si="1"/>
        <v>1.5548358380999998</v>
      </c>
      <c r="I13" s="473">
        <v>53.07</v>
      </c>
      <c r="M13" s="474"/>
    </row>
    <row r="14" spans="1:13" ht="14.25">
      <c r="A14" s="3" t="s">
        <v>1</v>
      </c>
      <c r="B14" s="455">
        <v>97.932747</v>
      </c>
      <c r="C14" s="455">
        <f t="shared" si="0"/>
        <v>54.84233832000001</v>
      </c>
      <c r="D14" s="545">
        <v>56</v>
      </c>
      <c r="F14" s="473" t="s">
        <v>1</v>
      </c>
      <c r="G14" s="474">
        <v>97.932747</v>
      </c>
      <c r="H14" s="473">
        <f t="shared" si="1"/>
        <v>54.84233832000001</v>
      </c>
      <c r="I14" s="473">
        <v>56</v>
      </c>
      <c r="M14" s="474"/>
    </row>
    <row r="15" spans="1:13" ht="14.25">
      <c r="A15" s="3" t="s">
        <v>203</v>
      </c>
      <c r="B15" s="455">
        <v>9.5695</v>
      </c>
      <c r="C15" s="455">
        <f t="shared" si="0"/>
        <v>5.4373899</v>
      </c>
      <c r="D15" s="545">
        <v>56.82</v>
      </c>
      <c r="F15" s="473" t="s">
        <v>203</v>
      </c>
      <c r="G15" s="474">
        <v>9.5695</v>
      </c>
      <c r="H15" s="473">
        <f t="shared" si="1"/>
        <v>5.4373899</v>
      </c>
      <c r="I15" s="473">
        <v>56.82</v>
      </c>
      <c r="M15" s="474"/>
    </row>
    <row r="16" spans="1:13" ht="14.25">
      <c r="A16" s="3" t="s">
        <v>211</v>
      </c>
      <c r="B16" s="455">
        <v>2.825418</v>
      </c>
      <c r="C16" s="455">
        <f t="shared" si="0"/>
        <v>1.3867151543999998</v>
      </c>
      <c r="D16" s="455">
        <v>49.08</v>
      </c>
      <c r="F16" s="473" t="s">
        <v>201</v>
      </c>
      <c r="G16" s="474">
        <v>2.825418</v>
      </c>
      <c r="H16" s="473">
        <f t="shared" si="1"/>
        <v>1.3867151543999998</v>
      </c>
      <c r="I16" s="474">
        <v>49.08</v>
      </c>
      <c r="M16" s="474"/>
    </row>
    <row r="17" spans="1:13" ht="14.25">
      <c r="A17" s="456" t="s">
        <v>2</v>
      </c>
      <c r="B17" s="455">
        <v>3.973379</v>
      </c>
      <c r="C17" s="455">
        <f t="shared" si="0"/>
        <v>2.0752958517</v>
      </c>
      <c r="D17" s="545">
        <v>52.23</v>
      </c>
      <c r="F17" s="473" t="s">
        <v>2</v>
      </c>
      <c r="G17" s="474">
        <v>3.973379</v>
      </c>
      <c r="H17" s="473">
        <f t="shared" si="1"/>
        <v>2.0752958517</v>
      </c>
      <c r="I17" s="473">
        <v>52.23</v>
      </c>
      <c r="M17" s="474"/>
    </row>
    <row r="18" spans="1:14" ht="15">
      <c r="A18" s="175" t="s">
        <v>47</v>
      </c>
      <c r="B18" s="454">
        <f>SUM(B5:B17)</f>
        <v>876.7204630000001</v>
      </c>
      <c r="C18" s="454">
        <f>SUM(C5:C17)</f>
        <v>735.8817139266</v>
      </c>
      <c r="D18" s="455">
        <f>C18/B18*100</f>
        <v>83.93572922987654</v>
      </c>
      <c r="H18" s="473">
        <f>SUM(H5:H17)</f>
        <v>735.8817139266</v>
      </c>
      <c r="N18" s="474"/>
    </row>
    <row r="31" spans="12:17" ht="14.25">
      <c r="L31" s="473" t="s">
        <v>217</v>
      </c>
      <c r="Q31" s="478"/>
    </row>
    <row r="32" spans="1:15" ht="14.25">
      <c r="A32" s="177"/>
      <c r="B32" s="471" t="str">
        <f>A5</f>
        <v>Idea</v>
      </c>
      <c r="C32" s="471" t="str">
        <f>A6</f>
        <v>Vodaphone</v>
      </c>
      <c r="D32" s="471" t="str">
        <f>A7</f>
        <v>Bharti Airtel</v>
      </c>
      <c r="E32" s="471" t="str">
        <f>A8</f>
        <v>Reliance</v>
      </c>
      <c r="F32" s="471" t="str">
        <f>A9</f>
        <v>Tata</v>
      </c>
      <c r="G32" s="471" t="str">
        <f>A10</f>
        <v>Uninor</v>
      </c>
      <c r="H32" s="502" t="str">
        <f>A11</f>
        <v>Aircel</v>
      </c>
      <c r="I32" s="471" t="str">
        <f>A12</f>
        <v>Quadrant</v>
      </c>
      <c r="J32" s="503" t="str">
        <f>A13</f>
        <v>Vidiocon</v>
      </c>
      <c r="K32" s="503" t="str">
        <f>A14</f>
        <v>BSNL</v>
      </c>
      <c r="L32" s="504" t="str">
        <f>A15</f>
        <v>Sistema Shyam</v>
      </c>
      <c r="M32" s="471" t="str">
        <f>A16</f>
        <v>Loop</v>
      </c>
      <c r="N32" s="471" t="str">
        <f>A17</f>
        <v>MTNL</v>
      </c>
      <c r="O32" s="479" t="s">
        <v>47</v>
      </c>
    </row>
    <row r="33" spans="1:15" ht="14.25">
      <c r="A33" s="177" t="s">
        <v>213</v>
      </c>
      <c r="B33" s="477">
        <f>B5</f>
        <v>126.020313</v>
      </c>
      <c r="C33" s="477">
        <f>B6</f>
        <v>154.337363</v>
      </c>
      <c r="D33" s="477">
        <f>B7</f>
        <v>192.222866</v>
      </c>
      <c r="E33" s="477">
        <f>B8</f>
        <v>126.755483</v>
      </c>
      <c r="F33" s="477">
        <f>B9</f>
        <v>63.690505</v>
      </c>
      <c r="G33" s="477">
        <f>B10</f>
        <v>32.253714</v>
      </c>
      <c r="H33" s="477">
        <f>B11</f>
        <v>62.60238</v>
      </c>
      <c r="I33" s="477">
        <f>B12</f>
        <v>1.607012</v>
      </c>
      <c r="J33" s="477">
        <f>B13</f>
        <v>2.929783</v>
      </c>
      <c r="K33" s="477">
        <f>B14</f>
        <v>97.932747</v>
      </c>
      <c r="L33" s="477">
        <f>B15</f>
        <v>9.5695</v>
      </c>
      <c r="M33" s="477">
        <f>B16</f>
        <v>2.825418</v>
      </c>
      <c r="N33" s="477">
        <f>B17</f>
        <v>3.973379</v>
      </c>
      <c r="O33" s="477">
        <f>B18</f>
        <v>876.7204630000001</v>
      </c>
    </row>
    <row r="34" spans="1:15" ht="14.25">
      <c r="A34" s="177" t="s">
        <v>214</v>
      </c>
      <c r="B34" s="477">
        <f>C5</f>
        <v>123.247866114</v>
      </c>
      <c r="C34" s="477">
        <f>C6</f>
        <v>148.0712660622</v>
      </c>
      <c r="D34" s="477">
        <f>C7</f>
        <v>182.707834133</v>
      </c>
      <c r="E34" s="477">
        <f>C8</f>
        <v>109.8716526644</v>
      </c>
      <c r="F34" s="477">
        <f>C9</f>
        <v>43.538829218000004</v>
      </c>
      <c r="G34" s="477">
        <f>C10</f>
        <v>22.2615134028</v>
      </c>
      <c r="H34" s="477">
        <f>C11</f>
        <v>39.965359392</v>
      </c>
      <c r="I34" s="477">
        <f>C12</f>
        <v>0.920817876</v>
      </c>
      <c r="J34" s="477">
        <f>C13</f>
        <v>1.5548358380999998</v>
      </c>
      <c r="K34" s="477">
        <f>C14</f>
        <v>54.84233832000001</v>
      </c>
      <c r="L34" s="477">
        <f>C15</f>
        <v>5.4373899</v>
      </c>
      <c r="M34" s="477">
        <f>C16</f>
        <v>1.3867151543999998</v>
      </c>
      <c r="N34" s="477">
        <f>C17</f>
        <v>2.0752958517</v>
      </c>
      <c r="O34" s="477">
        <f>C18</f>
        <v>735.8817139266</v>
      </c>
    </row>
    <row r="36" ht="14.25">
      <c r="A36" s="473" t="s">
        <v>218</v>
      </c>
    </row>
    <row r="38" spans="9:15" ht="14.25">
      <c r="I38" s="473">
        <f>I34/I33*100</f>
        <v>57.3</v>
      </c>
      <c r="K38" s="473">
        <f>K34/K33*100</f>
        <v>56.00000000000001</v>
      </c>
      <c r="N38" s="473">
        <f>0.3988*N33</f>
        <v>1.5845835451999999</v>
      </c>
      <c r="O38" s="474">
        <f>O34/O33*100</f>
        <v>83.93572922987654</v>
      </c>
    </row>
    <row r="42" spans="2:3" ht="14.25">
      <c r="B42" s="474"/>
      <c r="C42" s="474"/>
    </row>
    <row r="43" spans="2:3" ht="14.25">
      <c r="B43" s="474"/>
      <c r="C43" s="474"/>
    </row>
    <row r="44" spans="2:3" ht="14.25">
      <c r="B44" s="474"/>
      <c r="C44" s="474"/>
    </row>
    <row r="45" spans="2:3" ht="14.25">
      <c r="B45" s="474"/>
      <c r="C45" s="474"/>
    </row>
    <row r="46" spans="2:3" ht="14.25">
      <c r="B46" s="474"/>
      <c r="C46" s="474"/>
    </row>
    <row r="47" spans="2:3" ht="14.25">
      <c r="B47" s="474"/>
      <c r="C47" s="474"/>
    </row>
    <row r="48" spans="2:3" ht="14.25">
      <c r="B48" s="474"/>
      <c r="C48" s="474"/>
    </row>
    <row r="49" spans="2:3" ht="14.25">
      <c r="B49" s="474"/>
      <c r="C49" s="474"/>
    </row>
    <row r="50" spans="2:3" ht="14.25">
      <c r="B50" s="474"/>
      <c r="C50" s="474"/>
    </row>
    <row r="51" spans="2:3" ht="14.25">
      <c r="B51" s="474"/>
      <c r="C51" s="474"/>
    </row>
    <row r="52" spans="2:3" ht="14.25">
      <c r="B52" s="474"/>
      <c r="C52" s="474"/>
    </row>
    <row r="53" spans="2:3" ht="14.25">
      <c r="B53" s="474"/>
      <c r="C53" s="474"/>
    </row>
    <row r="54" spans="2:3" ht="14.25">
      <c r="B54" s="474"/>
      <c r="C54" s="474"/>
    </row>
    <row r="55" spans="2:4" ht="14.25">
      <c r="B55" s="474"/>
      <c r="C55" s="474"/>
      <c r="D55" s="474"/>
    </row>
    <row r="57" ht="14.25">
      <c r="E57" s="474"/>
    </row>
  </sheetData>
  <sheetProtection/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9" sqref="M29"/>
    </sheetView>
  </sheetViews>
  <sheetFormatPr defaultColWidth="9.140625" defaultRowHeight="12.75"/>
  <cols>
    <col min="1" max="1" width="12.7109375" style="26" bestFit="1" customWidth="1"/>
    <col min="2" max="2" width="8.421875" style="26" bestFit="1" customWidth="1"/>
    <col min="3" max="4" width="8.7109375" style="26" customWidth="1"/>
    <col min="5" max="5" width="10.421875" style="26" bestFit="1" customWidth="1"/>
    <col min="6" max="6" width="9.00390625" style="26" bestFit="1" customWidth="1"/>
    <col min="7" max="7" width="7.140625" style="26" bestFit="1" customWidth="1"/>
    <col min="8" max="8" width="7.7109375" style="26" bestFit="1" customWidth="1"/>
    <col min="9" max="12" width="8.7109375" style="26" customWidth="1"/>
    <col min="13" max="13" width="7.00390625" style="26" bestFit="1" customWidth="1"/>
    <col min="14" max="14" width="8.7109375" style="26" customWidth="1"/>
    <col min="15" max="16" width="9.140625" style="26" bestFit="1" customWidth="1"/>
    <col min="17" max="17" width="14.7109375" style="26" customWidth="1"/>
    <col min="18" max="18" width="9.57421875" style="26" bestFit="1" customWidth="1"/>
    <col min="19" max="20" width="11.57421875" style="0" bestFit="1" customWidth="1"/>
    <col min="21" max="22" width="9.140625" style="26" customWidth="1"/>
    <col min="23" max="23" width="12.421875" style="26" customWidth="1"/>
    <col min="24" max="16384" width="9.140625" style="26" customWidth="1"/>
  </cols>
  <sheetData>
    <row r="1" ht="18">
      <c r="A1" s="332" t="s">
        <v>194</v>
      </c>
    </row>
    <row r="2" spans="18:21" ht="15.75" thickBot="1">
      <c r="R2" s="142"/>
      <c r="U2" s="161"/>
    </row>
    <row r="3" spans="1:17" ht="15">
      <c r="A3" s="701" t="s">
        <v>192</v>
      </c>
      <c r="B3" s="703" t="s">
        <v>176</v>
      </c>
      <c r="C3" s="704"/>
      <c r="D3" s="699" t="s">
        <v>178</v>
      </c>
      <c r="E3" s="705" t="s">
        <v>188</v>
      </c>
      <c r="F3" s="699"/>
      <c r="G3" s="703" t="s">
        <v>179</v>
      </c>
      <c r="H3" s="704"/>
      <c r="I3" s="699" t="s">
        <v>178</v>
      </c>
      <c r="J3" s="703" t="s">
        <v>180</v>
      </c>
      <c r="K3" s="704"/>
      <c r="L3" s="699" t="s">
        <v>178</v>
      </c>
      <c r="M3" s="703" t="s">
        <v>187</v>
      </c>
      <c r="N3" s="707"/>
      <c r="O3" s="706" t="s">
        <v>181</v>
      </c>
      <c r="P3" s="704"/>
      <c r="Q3" s="699" t="s">
        <v>193</v>
      </c>
    </row>
    <row r="4" spans="1:18" ht="17.25" customHeight="1" thickBot="1">
      <c r="A4" s="702"/>
      <c r="B4" s="197" t="s">
        <v>177</v>
      </c>
      <c r="C4" s="340" t="s">
        <v>1</v>
      </c>
      <c r="D4" s="700"/>
      <c r="E4" s="343" t="s">
        <v>189</v>
      </c>
      <c r="F4" s="342" t="s">
        <v>190</v>
      </c>
      <c r="G4" s="197" t="s">
        <v>177</v>
      </c>
      <c r="H4" s="340" t="s">
        <v>1</v>
      </c>
      <c r="I4" s="700"/>
      <c r="J4" s="197" t="s">
        <v>177</v>
      </c>
      <c r="K4" s="340" t="s">
        <v>1</v>
      </c>
      <c r="L4" s="700"/>
      <c r="M4" s="197" t="s">
        <v>177</v>
      </c>
      <c r="N4" s="344" t="s">
        <v>1</v>
      </c>
      <c r="O4" s="352" t="s">
        <v>177</v>
      </c>
      <c r="P4" s="340" t="s">
        <v>1</v>
      </c>
      <c r="Q4" s="700"/>
      <c r="R4" s="308"/>
    </row>
    <row r="5" spans="1:18" s="283" customFormat="1" ht="21.75" customHeight="1" hidden="1" thickBot="1">
      <c r="A5" s="350" t="s">
        <v>151</v>
      </c>
      <c r="B5" s="355">
        <v>8.71</v>
      </c>
      <c r="C5" s="356">
        <v>5.375981</v>
      </c>
      <c r="D5" s="357">
        <f aca="true" t="shared" si="0" ref="D5:D12">C5/B5*100</f>
        <v>61.72194029850746</v>
      </c>
      <c r="E5" s="358"/>
      <c r="F5" s="357"/>
      <c r="G5" s="355"/>
      <c r="H5" s="359"/>
      <c r="I5" s="360"/>
      <c r="J5" s="355"/>
      <c r="K5" s="359"/>
      <c r="L5" s="360"/>
      <c r="M5" s="355"/>
      <c r="N5" s="360"/>
      <c r="O5" s="361"/>
      <c r="P5" s="359"/>
      <c r="Q5" s="360"/>
      <c r="R5" s="331"/>
    </row>
    <row r="6" spans="1:18" s="283" customFormat="1" ht="15.75" customHeight="1" hidden="1">
      <c r="A6" s="373" t="s">
        <v>191</v>
      </c>
      <c r="B6" s="346">
        <v>11.87</v>
      </c>
      <c r="C6" s="348">
        <v>7.490623</v>
      </c>
      <c r="D6" s="351">
        <f t="shared" si="0"/>
        <v>63.10550126368998</v>
      </c>
      <c r="E6" s="353">
        <v>0.8643591538382012</v>
      </c>
      <c r="F6" s="351">
        <v>1.383560965182518</v>
      </c>
      <c r="G6" s="346"/>
      <c r="H6" s="347"/>
      <c r="I6" s="349"/>
      <c r="J6" s="346">
        <v>1.92</v>
      </c>
      <c r="K6" s="348">
        <v>1.4199869999999999</v>
      </c>
      <c r="L6" s="351">
        <f aca="true" t="shared" si="1" ref="L6:L12">K6/J6*100</f>
        <v>73.95765624999999</v>
      </c>
      <c r="M6" s="437">
        <v>36.28013777267506</v>
      </c>
      <c r="N6" s="363">
        <v>39.3349976497313</v>
      </c>
      <c r="O6" s="353">
        <f aca="true" t="shared" si="2" ref="O6:O12">(B6*1000000)/(Q6*1000)*100</f>
        <v>0.9808349462339087</v>
      </c>
      <c r="P6" s="364">
        <f aca="true" t="shared" si="3" ref="P6:P12">(C6*1000000)/(Q6*1000)*100</f>
        <v>0.6189608093903521</v>
      </c>
      <c r="Q6" s="365">
        <v>1210193.422</v>
      </c>
      <c r="R6" s="331"/>
    </row>
    <row r="7" spans="1:19" s="283" customFormat="1" ht="15.75" customHeight="1" hidden="1">
      <c r="A7" s="373" t="s">
        <v>199</v>
      </c>
      <c r="B7" s="338">
        <v>13.79</v>
      </c>
      <c r="C7" s="330">
        <v>8.91061</v>
      </c>
      <c r="D7" s="339">
        <f t="shared" si="0"/>
        <v>64.61646120377085</v>
      </c>
      <c r="E7" s="291"/>
      <c r="F7" s="339">
        <v>1.5109599400808733</v>
      </c>
      <c r="G7" s="338"/>
      <c r="H7" s="330"/>
      <c r="I7" s="341"/>
      <c r="J7" s="338">
        <v>1.92</v>
      </c>
      <c r="K7" s="330">
        <v>1.4199869999999999</v>
      </c>
      <c r="L7" s="339">
        <f t="shared" si="1"/>
        <v>73.95765624999999</v>
      </c>
      <c r="M7" s="362">
        <f>(B7-B$6)/B$6*100</f>
        <v>16.175231676495365</v>
      </c>
      <c r="N7" s="341">
        <f>(C7-C$6)/C$6*100</f>
        <v>18.956861131577437</v>
      </c>
      <c r="O7" s="301">
        <f t="shared" si="2"/>
        <v>1.1290676748825093</v>
      </c>
      <c r="P7" s="546">
        <f t="shared" si="3"/>
        <v>0.7295635761047742</v>
      </c>
      <c r="Q7" s="547">
        <v>1221361.6868833825</v>
      </c>
      <c r="R7" s="331"/>
      <c r="S7" s="331">
        <f>D6-D5</f>
        <v>1.383560965182518</v>
      </c>
    </row>
    <row r="8" spans="1:19" s="283" customFormat="1" ht="15.75" customHeight="1">
      <c r="A8" s="373" t="s">
        <v>205</v>
      </c>
      <c r="B8" s="338">
        <v>15.05</v>
      </c>
      <c r="C8" s="330">
        <v>9.92743</v>
      </c>
      <c r="D8" s="339">
        <f t="shared" si="0"/>
        <v>65.96299003322258</v>
      </c>
      <c r="E8" s="291"/>
      <c r="F8" s="339">
        <v>1.346528829451728</v>
      </c>
      <c r="G8" s="338"/>
      <c r="H8" s="330"/>
      <c r="I8" s="341"/>
      <c r="J8" s="338">
        <v>1.2600000000000016</v>
      </c>
      <c r="K8" s="330">
        <v>1.0168199999999992</v>
      </c>
      <c r="L8" s="339">
        <f t="shared" si="1"/>
        <v>80.69999999999983</v>
      </c>
      <c r="M8" s="362">
        <f>(B8-B$7)/B$7*100</f>
        <v>9.137055837563464</v>
      </c>
      <c r="N8" s="341">
        <f>(C8-C$7)/C$7*100</f>
        <v>11.411339964379534</v>
      </c>
      <c r="O8" s="353">
        <f t="shared" si="2"/>
        <v>1.2287147382928243</v>
      </c>
      <c r="P8" s="364">
        <f t="shared" si="3"/>
        <v>0.8104969803568327</v>
      </c>
      <c r="Q8" s="365">
        <v>1224857.1235428057</v>
      </c>
      <c r="R8" s="331"/>
      <c r="S8" s="331">
        <f>D7-D6</f>
        <v>1.5109599400808733</v>
      </c>
    </row>
    <row r="9" spans="1:19" s="283" customFormat="1" ht="15.75" customHeight="1">
      <c r="A9" s="373" t="s">
        <v>234</v>
      </c>
      <c r="B9" s="338">
        <v>15.09</v>
      </c>
      <c r="C9" s="330">
        <v>9.925698</v>
      </c>
      <c r="D9" s="339">
        <f t="shared" si="0"/>
        <v>65.77666003976144</v>
      </c>
      <c r="E9" s="291">
        <f>D9-D8</f>
        <v>-0.18632999346114332</v>
      </c>
      <c r="F9" s="339">
        <f>D9-D$8</f>
        <v>-0.18632999346114332</v>
      </c>
      <c r="G9" s="338">
        <f aca="true" t="shared" si="4" ref="G9:H12">B9-B8</f>
        <v>0.03999999999999915</v>
      </c>
      <c r="H9" s="525">
        <f t="shared" si="4"/>
        <v>-0.0017319999999987346</v>
      </c>
      <c r="I9" s="341">
        <f>H9/G9*100</f>
        <v>-4.329999999996929</v>
      </c>
      <c r="J9" s="338">
        <f aca="true" t="shared" si="5" ref="J9:K12">B9-B$8</f>
        <v>0.03999999999999915</v>
      </c>
      <c r="K9" s="525">
        <f t="shared" si="5"/>
        <v>-0.0017319999999987346</v>
      </c>
      <c r="L9" s="339">
        <f t="shared" si="1"/>
        <v>-4.329999999996929</v>
      </c>
      <c r="M9" s="362">
        <f aca="true" t="shared" si="6" ref="M9:N12">(B9-B$8)/B$8*100</f>
        <v>0.2657807308970043</v>
      </c>
      <c r="N9" s="341">
        <f t="shared" si="6"/>
        <v>-0.017446610049113766</v>
      </c>
      <c r="O9" s="291">
        <f t="shared" si="2"/>
        <v>1.23069909298608</v>
      </c>
      <c r="P9" s="337">
        <f t="shared" si="3"/>
        <v>0.8095127585058812</v>
      </c>
      <c r="Q9" s="354">
        <v>1226132.3735428054</v>
      </c>
      <c r="R9" s="331"/>
      <c r="S9" s="331">
        <f>D8-D7</f>
        <v>1.346528829451728</v>
      </c>
    </row>
    <row r="10" spans="1:20" ht="15.75" customHeight="1">
      <c r="A10" s="367" t="s">
        <v>237</v>
      </c>
      <c r="B10" s="368">
        <v>15.13</v>
      </c>
      <c r="C10" s="142">
        <v>9.939775</v>
      </c>
      <c r="D10" s="339">
        <f t="shared" si="0"/>
        <v>65.69580304031724</v>
      </c>
      <c r="E10" s="291">
        <f>D10-D9</f>
        <v>-0.08085699944419389</v>
      </c>
      <c r="F10" s="339">
        <f>D10-D$8</f>
        <v>-0.2671869929053372</v>
      </c>
      <c r="G10" s="338">
        <f t="shared" si="4"/>
        <v>0.040000000000000924</v>
      </c>
      <c r="H10" s="525">
        <f t="shared" si="4"/>
        <v>0.014076999999998563</v>
      </c>
      <c r="I10" s="341">
        <f>H10/G10*100</f>
        <v>35.1924999999956</v>
      </c>
      <c r="J10" s="338">
        <f t="shared" si="5"/>
        <v>0.08000000000000007</v>
      </c>
      <c r="K10" s="525">
        <f t="shared" si="5"/>
        <v>0.012344999999999828</v>
      </c>
      <c r="L10" s="339">
        <f t="shared" si="1"/>
        <v>15.431249999999771</v>
      </c>
      <c r="M10" s="362">
        <f t="shared" si="6"/>
        <v>0.5315614617940204</v>
      </c>
      <c r="N10" s="341">
        <f t="shared" si="6"/>
        <v>0.12435242555223083</v>
      </c>
      <c r="O10" s="291">
        <f t="shared" si="2"/>
        <v>1.2326793242760357</v>
      </c>
      <c r="P10" s="337">
        <f t="shared" si="3"/>
        <v>0.8098185809950978</v>
      </c>
      <c r="Q10" s="354">
        <v>1227407.6235428054</v>
      </c>
      <c r="S10" s="26"/>
      <c r="T10" s="26">
        <v>1227407.6235428054</v>
      </c>
    </row>
    <row r="11" spans="1:20" ht="15.75" customHeight="1">
      <c r="A11" s="367" t="s">
        <v>238</v>
      </c>
      <c r="B11" s="371">
        <v>15.19</v>
      </c>
      <c r="C11" s="142">
        <v>9.947168</v>
      </c>
      <c r="D11" s="339">
        <f t="shared" si="0"/>
        <v>65.48497695852534</v>
      </c>
      <c r="E11" s="291">
        <f>D11-D10</f>
        <v>-0.21082608179190743</v>
      </c>
      <c r="F11" s="339">
        <f>D11-D$8</f>
        <v>-0.47801307469724463</v>
      </c>
      <c r="G11" s="338">
        <f t="shared" si="4"/>
        <v>0.05999999999999872</v>
      </c>
      <c r="H11" s="525">
        <f t="shared" si="4"/>
        <v>0.007393000000000427</v>
      </c>
      <c r="I11" s="341">
        <f>H11/G11*100</f>
        <v>12.32166666666764</v>
      </c>
      <c r="J11" s="338">
        <f t="shared" si="5"/>
        <v>0.1399999999999988</v>
      </c>
      <c r="K11" s="525">
        <f t="shared" si="5"/>
        <v>0.019738000000000255</v>
      </c>
      <c r="L11" s="339">
        <f t="shared" si="1"/>
        <v>14.098571428571733</v>
      </c>
      <c r="M11" s="362">
        <f t="shared" si="6"/>
        <v>0.9302325581395269</v>
      </c>
      <c r="N11" s="341">
        <f t="shared" si="6"/>
        <v>0.19882285747671105</v>
      </c>
      <c r="O11" s="291">
        <f t="shared" si="2"/>
        <v>1.236283204322763</v>
      </c>
      <c r="P11" s="337">
        <f t="shared" si="3"/>
        <v>0.8095797714928802</v>
      </c>
      <c r="Q11" s="369">
        <v>1228682.8735428057</v>
      </c>
      <c r="S11" s="26"/>
      <c r="T11" s="26"/>
    </row>
    <row r="12" spans="1:20" ht="15">
      <c r="A12" s="367" t="s">
        <v>239</v>
      </c>
      <c r="B12" s="371">
        <v>15.24</v>
      </c>
      <c r="C12" s="142">
        <v>9.951117</v>
      </c>
      <c r="D12" s="339">
        <f t="shared" si="0"/>
        <v>65.29604330708662</v>
      </c>
      <c r="E12" s="291">
        <f>D12-D11</f>
        <v>-0.18893365143871677</v>
      </c>
      <c r="F12" s="339">
        <f>D12-D$8</f>
        <v>-0.6669467261359614</v>
      </c>
      <c r="G12" s="362">
        <f t="shared" si="4"/>
        <v>0.05000000000000071</v>
      </c>
      <c r="H12" s="525">
        <f t="shared" si="4"/>
        <v>0.003949000000000424</v>
      </c>
      <c r="I12" s="341">
        <f>H12/G12*100</f>
        <v>7.898000000000736</v>
      </c>
      <c r="J12" s="362">
        <f t="shared" si="5"/>
        <v>0.1899999999999995</v>
      </c>
      <c r="K12" s="525">
        <f t="shared" si="5"/>
        <v>0.02368700000000068</v>
      </c>
      <c r="L12" s="339">
        <f t="shared" si="1"/>
        <v>12.466842105263549</v>
      </c>
      <c r="M12" s="362">
        <f t="shared" si="6"/>
        <v>1.262458471760794</v>
      </c>
      <c r="N12" s="341">
        <f t="shared" si="6"/>
        <v>0.23860153131274336</v>
      </c>
      <c r="O12" s="291">
        <f t="shared" si="2"/>
        <v>1.237782902479093</v>
      </c>
      <c r="P12" s="337">
        <f t="shared" si="3"/>
        <v>0.8082232600504622</v>
      </c>
      <c r="Q12" s="369">
        <v>1231233.6815669835</v>
      </c>
      <c r="S12" s="26"/>
      <c r="T12" s="26"/>
    </row>
    <row r="13" spans="1:20" ht="15">
      <c r="A13" s="367" t="s">
        <v>240</v>
      </c>
      <c r="B13" s="368">
        <v>15.28</v>
      </c>
      <c r="C13" s="142">
        <v>9.973097</v>
      </c>
      <c r="D13" s="339">
        <f>C13/B13*100</f>
        <v>65.26895942408377</v>
      </c>
      <c r="E13" s="291">
        <f>D13-D12</f>
        <v>-0.027083883002845255</v>
      </c>
      <c r="F13" s="339">
        <f>D13-D$8</f>
        <v>-0.6940306091388067</v>
      </c>
      <c r="G13" s="362">
        <f>B13-B12</f>
        <v>0.03999999999999915</v>
      </c>
      <c r="H13" s="525">
        <f>C13-C12</f>
        <v>0.021979999999999222</v>
      </c>
      <c r="I13" s="341">
        <f>H13/G13*100</f>
        <v>54.949999999999235</v>
      </c>
      <c r="J13" s="362">
        <f>B13-B$8</f>
        <v>0.22999999999999865</v>
      </c>
      <c r="K13" s="525">
        <f>C13-C$8</f>
        <v>0.0456669999999999</v>
      </c>
      <c r="L13" s="339">
        <f>K13/J13*100</f>
        <v>19.85521739130442</v>
      </c>
      <c r="M13" s="362">
        <f>(B13-B$8)/B$8*100</f>
        <v>1.5282392026577984</v>
      </c>
      <c r="N13" s="341">
        <f>(C13-C$8)/C$8*100</f>
        <v>0.460008280088602</v>
      </c>
      <c r="O13" s="291">
        <f>(B13*1000000)/(Q13*1000)*100</f>
        <v>1.2397476082038095</v>
      </c>
      <c r="P13" s="337">
        <f>(C13*1000000)/(Q13*1000)*100</f>
        <v>0.8091703633595934</v>
      </c>
      <c r="Q13" s="369">
        <v>1232508.9315669832</v>
      </c>
      <c r="S13" s="26"/>
      <c r="T13" s="26"/>
    </row>
    <row r="14" spans="1:20" ht="15">
      <c r="A14" s="367" t="s">
        <v>241</v>
      </c>
      <c r="B14" s="368"/>
      <c r="C14" s="142"/>
      <c r="D14" s="339"/>
      <c r="E14" s="291"/>
      <c r="F14" s="339"/>
      <c r="G14" s="362"/>
      <c r="H14" s="330"/>
      <c r="I14" s="341"/>
      <c r="J14" s="362"/>
      <c r="K14" s="330"/>
      <c r="L14" s="339"/>
      <c r="M14" s="362"/>
      <c r="N14" s="341"/>
      <c r="O14" s="291"/>
      <c r="P14" s="337"/>
      <c r="Q14" s="369"/>
      <c r="S14" s="26"/>
      <c r="T14" s="26"/>
    </row>
    <row r="15" spans="1:20" ht="15">
      <c r="A15" s="367" t="s">
        <v>242</v>
      </c>
      <c r="B15" s="368"/>
      <c r="C15" s="142"/>
      <c r="D15" s="339"/>
      <c r="E15" s="291"/>
      <c r="F15" s="339"/>
      <c r="G15" s="362"/>
      <c r="H15" s="330"/>
      <c r="I15" s="341"/>
      <c r="J15" s="338"/>
      <c r="K15" s="330"/>
      <c r="L15" s="339"/>
      <c r="M15" s="362"/>
      <c r="N15" s="341"/>
      <c r="O15" s="291"/>
      <c r="P15" s="337"/>
      <c r="Q15" s="369"/>
      <c r="S15" s="26"/>
      <c r="T15" s="26"/>
    </row>
    <row r="16" spans="1:20" ht="15">
      <c r="A16" s="367" t="s">
        <v>243</v>
      </c>
      <c r="B16" s="374"/>
      <c r="C16" s="375"/>
      <c r="D16" s="339"/>
      <c r="E16" s="291"/>
      <c r="F16" s="339"/>
      <c r="G16" s="362"/>
      <c r="H16" s="330"/>
      <c r="I16" s="341"/>
      <c r="J16" s="377"/>
      <c r="K16" s="330"/>
      <c r="L16" s="339"/>
      <c r="M16" s="376"/>
      <c r="N16" s="341"/>
      <c r="O16" s="291"/>
      <c r="P16" s="337"/>
      <c r="Q16" s="378"/>
      <c r="S16" s="26"/>
      <c r="T16" s="26"/>
    </row>
    <row r="17" spans="1:20" ht="15">
      <c r="A17" s="367" t="s">
        <v>244</v>
      </c>
      <c r="B17" s="371"/>
      <c r="C17" s="142"/>
      <c r="D17" s="339"/>
      <c r="E17" s="291"/>
      <c r="F17" s="339"/>
      <c r="G17" s="362"/>
      <c r="H17" s="330"/>
      <c r="I17" s="341"/>
      <c r="J17" s="338"/>
      <c r="K17" s="330"/>
      <c r="L17" s="339"/>
      <c r="M17" s="362"/>
      <c r="N17" s="341"/>
      <c r="O17" s="291"/>
      <c r="P17" s="337"/>
      <c r="Q17" s="369"/>
      <c r="S17" s="26"/>
      <c r="T17" s="26"/>
    </row>
    <row r="18" spans="1:20" ht="15">
      <c r="A18" s="367" t="s">
        <v>245</v>
      </c>
      <c r="B18" s="368"/>
      <c r="C18" s="142"/>
      <c r="D18" s="339"/>
      <c r="E18" s="291"/>
      <c r="F18" s="339"/>
      <c r="G18" s="362"/>
      <c r="H18" s="330"/>
      <c r="I18" s="341"/>
      <c r="J18" s="338"/>
      <c r="K18" s="330"/>
      <c r="L18" s="339"/>
      <c r="M18" s="362"/>
      <c r="N18" s="341"/>
      <c r="O18" s="291"/>
      <c r="P18" s="337"/>
      <c r="Q18" s="369"/>
      <c r="S18" s="26"/>
      <c r="T18" s="26"/>
    </row>
    <row r="19" spans="1:20" ht="15">
      <c r="A19" s="367" t="s">
        <v>246</v>
      </c>
      <c r="B19" s="371"/>
      <c r="C19" s="142"/>
      <c r="D19" s="339"/>
      <c r="E19" s="291"/>
      <c r="F19" s="339"/>
      <c r="G19" s="362"/>
      <c r="H19" s="330"/>
      <c r="I19" s="341"/>
      <c r="J19" s="338"/>
      <c r="K19" s="330"/>
      <c r="L19" s="339"/>
      <c r="M19" s="362"/>
      <c r="N19" s="341"/>
      <c r="O19" s="291"/>
      <c r="P19" s="337"/>
      <c r="Q19" s="369"/>
      <c r="S19" s="26"/>
      <c r="T19" s="26"/>
    </row>
    <row r="20" spans="1:17" ht="15.75" thickBot="1">
      <c r="A20" s="383" t="s">
        <v>247</v>
      </c>
      <c r="B20" s="384"/>
      <c r="C20" s="385"/>
      <c r="D20" s="386"/>
      <c r="E20" s="305"/>
      <c r="F20" s="386"/>
      <c r="G20" s="388"/>
      <c r="H20" s="389"/>
      <c r="I20" s="390"/>
      <c r="J20" s="391"/>
      <c r="K20" s="389"/>
      <c r="L20" s="386"/>
      <c r="M20" s="388"/>
      <c r="N20" s="390"/>
      <c r="O20" s="387"/>
      <c r="P20" s="392"/>
      <c r="Q20" s="393"/>
    </row>
    <row r="22" spans="1:17" ht="15">
      <c r="A22" s="26" t="s">
        <v>174</v>
      </c>
      <c r="B22">
        <v>6.22</v>
      </c>
      <c r="C22" s="92">
        <v>3.557471</v>
      </c>
      <c r="D22">
        <f>C22/B22*100</f>
        <v>57.19406752411575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</row>
    <row r="24" spans="19:20" ht="15">
      <c r="S24" s="26"/>
      <c r="T24" s="26"/>
    </row>
    <row r="25" spans="3:20" ht="15">
      <c r="C25" s="26">
        <v>9.925698</v>
      </c>
      <c r="S25" s="26"/>
      <c r="T25" s="26"/>
    </row>
    <row r="26" spans="3:20" ht="15">
      <c r="C26" s="161"/>
      <c r="S26" s="26"/>
      <c r="T26" s="26"/>
    </row>
  </sheetData>
  <sheetProtection/>
  <mergeCells count="11">
    <mergeCell ref="M3:N3"/>
    <mergeCell ref="I3:I4"/>
    <mergeCell ref="A3:A4"/>
    <mergeCell ref="B3:C3"/>
    <mergeCell ref="D3:D4"/>
    <mergeCell ref="G3:H3"/>
    <mergeCell ref="Q3:Q4"/>
    <mergeCell ref="E3:F3"/>
    <mergeCell ref="J3:K3"/>
    <mergeCell ref="L3:L4"/>
    <mergeCell ref="O3:P3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58" sqref="H58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0.7109375" style="0" bestFit="1" customWidth="1"/>
    <col min="4" max="4" width="9.140625" style="0" bestFit="1" customWidth="1"/>
    <col min="5" max="5" width="10.7109375" style="0" bestFit="1" customWidth="1"/>
    <col min="6" max="6" width="8.140625" style="0" bestFit="1" customWidth="1"/>
    <col min="7" max="8" width="9.140625" style="0" bestFit="1" customWidth="1"/>
    <col min="9" max="12" width="10.7109375" style="0" bestFit="1" customWidth="1"/>
    <col min="13" max="13" width="12.00390625" style="0" bestFit="1" customWidth="1"/>
    <col min="14" max="14" width="11.7109375" style="0" bestFit="1" customWidth="1"/>
    <col min="16" max="17" width="10.140625" style="0" bestFit="1" customWidth="1"/>
    <col min="19" max="19" width="10.140625" style="0" bestFit="1" customWidth="1"/>
    <col min="20" max="20" width="9.28125" style="0" bestFit="1" customWidth="1"/>
  </cols>
  <sheetData>
    <row r="1" ht="12.75">
      <c r="A1" s="186" t="s">
        <v>274</v>
      </c>
    </row>
    <row r="2" ht="13.5" thickBot="1"/>
    <row r="3" spans="1:14" s="261" customFormat="1" ht="18" customHeight="1">
      <c r="A3" s="599" t="s">
        <v>19</v>
      </c>
      <c r="B3" s="602" t="s">
        <v>20</v>
      </c>
      <c r="C3" s="710" t="s">
        <v>132</v>
      </c>
      <c r="D3" s="711"/>
      <c r="E3" s="712"/>
      <c r="F3" s="710" t="s">
        <v>131</v>
      </c>
      <c r="G3" s="711"/>
      <c r="H3" s="712"/>
      <c r="I3" s="710" t="s">
        <v>133</v>
      </c>
      <c r="J3" s="711"/>
      <c r="K3" s="712"/>
      <c r="L3" s="710" t="s">
        <v>57</v>
      </c>
      <c r="M3" s="711"/>
      <c r="N3" s="712"/>
    </row>
    <row r="4" spans="1:14" s="261" customFormat="1" ht="19.5" customHeight="1" thickBot="1">
      <c r="A4" s="601"/>
      <c r="B4" s="604"/>
      <c r="C4" s="262" t="s">
        <v>87</v>
      </c>
      <c r="D4" s="263" t="s">
        <v>88</v>
      </c>
      <c r="E4" s="264" t="s">
        <v>47</v>
      </c>
      <c r="F4" s="262" t="s">
        <v>87</v>
      </c>
      <c r="G4" s="263" t="s">
        <v>88</v>
      </c>
      <c r="H4" s="264" t="s">
        <v>47</v>
      </c>
      <c r="I4" s="262" t="s">
        <v>87</v>
      </c>
      <c r="J4" s="263" t="s">
        <v>88</v>
      </c>
      <c r="K4" s="264" t="s">
        <v>47</v>
      </c>
      <c r="L4" s="262" t="s">
        <v>87</v>
      </c>
      <c r="M4" s="263" t="s">
        <v>88</v>
      </c>
      <c r="N4" s="264" t="s">
        <v>47</v>
      </c>
    </row>
    <row r="5" spans="1:20" ht="18" customHeight="1">
      <c r="A5" s="250">
        <v>1</v>
      </c>
      <c r="B5" s="251" t="s">
        <v>157</v>
      </c>
      <c r="C5" s="252">
        <f>'Anne-8'!R9</f>
        <v>8248</v>
      </c>
      <c r="D5" s="253">
        <f>'Anne-8'!S9</f>
        <v>5962</v>
      </c>
      <c r="E5" s="254">
        <f>SUM(C5:D5)</f>
        <v>14210</v>
      </c>
      <c r="F5" s="252">
        <f>'Anne-7'!Q9+'Anne-7'!T9</f>
        <v>7251</v>
      </c>
      <c r="G5" s="253">
        <f>'Anne-7'!R9+'Anne-7'!U9</f>
        <v>4441</v>
      </c>
      <c r="H5" s="254">
        <f>SUM(F5:G5)</f>
        <v>11692</v>
      </c>
      <c r="I5" s="252">
        <f>'Anne-6'!AC9</f>
        <v>122518</v>
      </c>
      <c r="J5" s="253">
        <f>'Anne-6'!AD9</f>
        <v>89675</v>
      </c>
      <c r="K5" s="254">
        <f>SUM(I5:J5)</f>
        <v>212193</v>
      </c>
      <c r="L5" s="252">
        <f>I5+F5+C5</f>
        <v>138017</v>
      </c>
      <c r="M5" s="253">
        <f>J5+G5+D5</f>
        <v>100078</v>
      </c>
      <c r="N5" s="254">
        <f>SUM(L5:M5)</f>
        <v>238095</v>
      </c>
      <c r="S5" s="81">
        <f>I5-P5</f>
        <v>122518</v>
      </c>
      <c r="T5" s="81">
        <f>J5-Q5</f>
        <v>89675</v>
      </c>
    </row>
    <row r="6" spans="1:20" ht="18" customHeight="1">
      <c r="A6" s="246">
        <v>2</v>
      </c>
      <c r="B6" s="247" t="s">
        <v>22</v>
      </c>
      <c r="C6" s="255">
        <f>'Anne-8'!R10</f>
        <v>1173162</v>
      </c>
      <c r="D6" s="256">
        <f>'Anne-8'!S10</f>
        <v>577848</v>
      </c>
      <c r="E6" s="257">
        <f aca="true" t="shared" si="0" ref="E6:E30">SUM(C6:D6)</f>
        <v>1751010</v>
      </c>
      <c r="F6" s="255">
        <f>'Anne-7'!Q10+'Anne-7'!T10</f>
        <v>21288</v>
      </c>
      <c r="G6" s="256">
        <f>'Anne-7'!R10+'Anne-7'!U10</f>
        <v>65870</v>
      </c>
      <c r="H6" s="257">
        <f aca="true" t="shared" si="1" ref="H6:H30">SUM(F6:G6)</f>
        <v>87158</v>
      </c>
      <c r="I6" s="255">
        <f>'Anne-6'!AC10</f>
        <v>4253753</v>
      </c>
      <c r="J6" s="256">
        <f>'Anne-6'!AD10</f>
        <v>5095752</v>
      </c>
      <c r="K6" s="257">
        <f aca="true" t="shared" si="2" ref="K6:K30">SUM(I6:J6)</f>
        <v>9349505</v>
      </c>
      <c r="L6" s="255">
        <f aca="true" t="shared" si="3" ref="L6:L30">I6+F6+C6</f>
        <v>5448203</v>
      </c>
      <c r="M6" s="256">
        <f aca="true" t="shared" si="4" ref="M6:M30">J6+G6+D6</f>
        <v>5739470</v>
      </c>
      <c r="N6" s="257">
        <f aca="true" t="shared" si="5" ref="N6:N30">SUM(L6:M6)</f>
        <v>11187673</v>
      </c>
      <c r="S6" s="81">
        <f aca="true" t="shared" si="6" ref="S6:S30">I6-P6</f>
        <v>4253753</v>
      </c>
      <c r="T6" s="81">
        <f aca="true" t="shared" si="7" ref="T6:T30">J6-Q6</f>
        <v>5095752</v>
      </c>
    </row>
    <row r="7" spans="1:20" ht="18" customHeight="1">
      <c r="A7" s="246">
        <v>3</v>
      </c>
      <c r="B7" s="247" t="s">
        <v>23</v>
      </c>
      <c r="C7" s="255">
        <f>'Anne-8'!R11</f>
        <v>154340</v>
      </c>
      <c r="D7" s="256">
        <f>'Anne-8'!S11</f>
        <v>37224</v>
      </c>
      <c r="E7" s="257">
        <f t="shared" si="0"/>
        <v>191564</v>
      </c>
      <c r="F7" s="255">
        <f>'Anne-7'!Q11+'Anne-7'!T11</f>
        <v>3848</v>
      </c>
      <c r="G7" s="256">
        <f>'Anne-7'!R11+'Anne-7'!U11</f>
        <v>91801</v>
      </c>
      <c r="H7" s="257">
        <f t="shared" si="1"/>
        <v>95649</v>
      </c>
      <c r="I7" s="255">
        <f>'Anne-6'!AC11</f>
        <v>832906</v>
      </c>
      <c r="J7" s="256">
        <f>'Anne-6'!AD11</f>
        <v>320471</v>
      </c>
      <c r="K7" s="257">
        <f t="shared" si="2"/>
        <v>1153377</v>
      </c>
      <c r="L7" s="255">
        <f t="shared" si="3"/>
        <v>991094</v>
      </c>
      <c r="M7" s="256">
        <f t="shared" si="4"/>
        <v>449496</v>
      </c>
      <c r="N7" s="257">
        <f t="shared" si="5"/>
        <v>1440590</v>
      </c>
      <c r="S7" s="81">
        <f t="shared" si="6"/>
        <v>832906</v>
      </c>
      <c r="T7" s="81">
        <f t="shared" si="7"/>
        <v>320471</v>
      </c>
    </row>
    <row r="8" spans="1:20" ht="18" customHeight="1">
      <c r="A8" s="246">
        <v>4</v>
      </c>
      <c r="B8" s="247" t="s">
        <v>24</v>
      </c>
      <c r="C8" s="255">
        <f>'Anne-8'!R12</f>
        <v>116322</v>
      </c>
      <c r="D8" s="256">
        <f>'Anne-8'!S12</f>
        <v>98395</v>
      </c>
      <c r="E8" s="257">
        <f t="shared" si="0"/>
        <v>214717</v>
      </c>
      <c r="F8" s="255">
        <f>'Anne-7'!Q12+'Anne-7'!T12</f>
        <v>8060</v>
      </c>
      <c r="G8" s="256">
        <f>'Anne-7'!R12+'Anne-7'!U12</f>
        <v>106438</v>
      </c>
      <c r="H8" s="257">
        <f t="shared" si="1"/>
        <v>114498</v>
      </c>
      <c r="I8" s="255">
        <f>'Anne-6'!AC12</f>
        <v>1254785</v>
      </c>
      <c r="J8" s="256">
        <f>'Anne-6'!AD12</f>
        <v>763483</v>
      </c>
      <c r="K8" s="257">
        <f t="shared" si="2"/>
        <v>2018268</v>
      </c>
      <c r="L8" s="255">
        <f t="shared" si="3"/>
        <v>1379167</v>
      </c>
      <c r="M8" s="256">
        <f t="shared" si="4"/>
        <v>968316</v>
      </c>
      <c r="N8" s="257">
        <f t="shared" si="5"/>
        <v>2347483</v>
      </c>
      <c r="S8" s="81">
        <f t="shared" si="6"/>
        <v>1254785</v>
      </c>
      <c r="T8" s="81">
        <f t="shared" si="7"/>
        <v>763483</v>
      </c>
    </row>
    <row r="9" spans="1:20" ht="18" customHeight="1">
      <c r="A9" s="246">
        <v>5</v>
      </c>
      <c r="B9" s="247" t="s">
        <v>25</v>
      </c>
      <c r="C9" s="255">
        <f>'Anne-8'!R13</f>
        <v>117049</v>
      </c>
      <c r="D9" s="256">
        <f>'Anne-8'!S13</f>
        <v>21036</v>
      </c>
      <c r="E9" s="257">
        <f t="shared" si="0"/>
        <v>138085</v>
      </c>
      <c r="F9" s="255">
        <f>'Anne-7'!Q13+'Anne-7'!T13</f>
        <v>26272</v>
      </c>
      <c r="G9" s="256">
        <f>'Anne-7'!R13+'Anne-7'!U13</f>
        <v>86924</v>
      </c>
      <c r="H9" s="257">
        <f t="shared" si="1"/>
        <v>113196</v>
      </c>
      <c r="I9" s="255">
        <f>'Anne-6'!AC13</f>
        <v>1092233</v>
      </c>
      <c r="J9" s="256">
        <f>'Anne-6'!AD13</f>
        <v>567325</v>
      </c>
      <c r="K9" s="257">
        <f t="shared" si="2"/>
        <v>1659558</v>
      </c>
      <c r="L9" s="255">
        <f t="shared" si="3"/>
        <v>1235554</v>
      </c>
      <c r="M9" s="256">
        <f t="shared" si="4"/>
        <v>675285</v>
      </c>
      <c r="N9" s="257">
        <f t="shared" si="5"/>
        <v>1910839</v>
      </c>
      <c r="S9" s="81">
        <f t="shared" si="6"/>
        <v>1092233</v>
      </c>
      <c r="T9" s="81">
        <f t="shared" si="7"/>
        <v>567325</v>
      </c>
    </row>
    <row r="10" spans="1:20" ht="18" customHeight="1">
      <c r="A10" s="246">
        <v>6</v>
      </c>
      <c r="B10" s="247" t="s">
        <v>26</v>
      </c>
      <c r="C10" s="255">
        <f>'Anne-8'!R14</f>
        <v>1161288</v>
      </c>
      <c r="D10" s="256">
        <f>'Anne-8'!S14</f>
        <v>335040</v>
      </c>
      <c r="E10" s="257">
        <f t="shared" si="0"/>
        <v>1496328</v>
      </c>
      <c r="F10" s="255">
        <f>'Anne-7'!Q14+'Anne-7'!T14</f>
        <v>40436</v>
      </c>
      <c r="G10" s="256">
        <f>'Anne-7'!R14+'Anne-7'!U14</f>
        <v>68601</v>
      </c>
      <c r="H10" s="257">
        <f t="shared" si="1"/>
        <v>109037</v>
      </c>
      <c r="I10" s="255">
        <f>'Anne-6'!AC14</f>
        <v>2742010</v>
      </c>
      <c r="J10" s="256">
        <f>'Anne-6'!AD14</f>
        <v>1476458</v>
      </c>
      <c r="K10" s="257">
        <f t="shared" si="2"/>
        <v>4218468</v>
      </c>
      <c r="L10" s="255">
        <f t="shared" si="3"/>
        <v>3943734</v>
      </c>
      <c r="M10" s="256">
        <f t="shared" si="4"/>
        <v>1880099</v>
      </c>
      <c r="N10" s="257">
        <f t="shared" si="5"/>
        <v>5823833</v>
      </c>
      <c r="S10" s="81">
        <f t="shared" si="6"/>
        <v>2742010</v>
      </c>
      <c r="T10" s="81">
        <f t="shared" si="7"/>
        <v>1476458</v>
      </c>
    </row>
    <row r="11" spans="1:20" ht="18" customHeight="1">
      <c r="A11" s="246">
        <v>7</v>
      </c>
      <c r="B11" s="247" t="s">
        <v>27</v>
      </c>
      <c r="C11" s="255">
        <f>'Anne-8'!R15</f>
        <v>320976</v>
      </c>
      <c r="D11" s="256">
        <f>'Anne-8'!S15</f>
        <v>149047</v>
      </c>
      <c r="E11" s="257">
        <f t="shared" si="0"/>
        <v>470023</v>
      </c>
      <c r="F11" s="255">
        <f>'Anne-7'!Q15+'Anne-7'!T15</f>
        <v>3584</v>
      </c>
      <c r="G11" s="256">
        <f>'Anne-7'!R15+'Anne-7'!U15</f>
        <v>14966</v>
      </c>
      <c r="H11" s="257">
        <f t="shared" si="1"/>
        <v>18550</v>
      </c>
      <c r="I11" s="255">
        <f>'Anne-6'!AC15</f>
        <v>1486953</v>
      </c>
      <c r="J11" s="256">
        <f>'Anne-6'!AD15</f>
        <v>1578552</v>
      </c>
      <c r="K11" s="257">
        <f t="shared" si="2"/>
        <v>3065505</v>
      </c>
      <c r="L11" s="255">
        <f t="shared" si="3"/>
        <v>1811513</v>
      </c>
      <c r="M11" s="256">
        <f t="shared" si="4"/>
        <v>1742565</v>
      </c>
      <c r="N11" s="257">
        <f t="shared" si="5"/>
        <v>3554078</v>
      </c>
      <c r="S11" s="81">
        <f t="shared" si="6"/>
        <v>1486953</v>
      </c>
      <c r="T11" s="81">
        <f t="shared" si="7"/>
        <v>1578552</v>
      </c>
    </row>
    <row r="12" spans="1:20" ht="18" customHeight="1">
      <c r="A12" s="246">
        <v>8</v>
      </c>
      <c r="B12" s="247" t="s">
        <v>28</v>
      </c>
      <c r="C12" s="255">
        <f>'Anne-8'!R16</f>
        <v>62455</v>
      </c>
      <c r="D12" s="256">
        <f>'Anne-8'!S16</f>
        <v>194369</v>
      </c>
      <c r="E12" s="257">
        <f t="shared" si="0"/>
        <v>256824</v>
      </c>
      <c r="F12" s="255">
        <f>'Anne-7'!Q16+'Anne-7'!T16</f>
        <v>2729</v>
      </c>
      <c r="G12" s="256">
        <f>'Anne-7'!R16+'Anne-7'!U16</f>
        <v>51214</v>
      </c>
      <c r="H12" s="257">
        <f t="shared" si="1"/>
        <v>53943</v>
      </c>
      <c r="I12" s="255">
        <f>'Anne-6'!AC16</f>
        <v>583936</v>
      </c>
      <c r="J12" s="256">
        <f>'Anne-6'!AD16</f>
        <v>897266</v>
      </c>
      <c r="K12" s="257">
        <f t="shared" si="2"/>
        <v>1481202</v>
      </c>
      <c r="L12" s="255">
        <f t="shared" si="3"/>
        <v>649120</v>
      </c>
      <c r="M12" s="256">
        <f t="shared" si="4"/>
        <v>1142849</v>
      </c>
      <c r="N12" s="257">
        <f t="shared" si="5"/>
        <v>1791969</v>
      </c>
      <c r="S12" s="81">
        <f t="shared" si="6"/>
        <v>583936</v>
      </c>
      <c r="T12" s="81">
        <f t="shared" si="7"/>
        <v>897266</v>
      </c>
    </row>
    <row r="13" spans="1:20" ht="18" customHeight="1">
      <c r="A13" s="246">
        <v>9</v>
      </c>
      <c r="B13" s="247" t="s">
        <v>29</v>
      </c>
      <c r="C13" s="255">
        <f>'Anne-8'!R17</f>
        <v>155717</v>
      </c>
      <c r="D13" s="256">
        <f>'Anne-8'!S17</f>
        <v>34057</v>
      </c>
      <c r="E13" s="257">
        <f t="shared" si="0"/>
        <v>189774</v>
      </c>
      <c r="F13" s="255">
        <f>'Anne-7'!Q17+'Anne-7'!T17</f>
        <v>40156</v>
      </c>
      <c r="G13" s="256">
        <f>'Anne-7'!R17+'Anne-7'!U17</f>
        <v>25642</v>
      </c>
      <c r="H13" s="257">
        <f t="shared" si="1"/>
        <v>65798</v>
      </c>
      <c r="I13" s="255">
        <f>'Anne-6'!AC17</f>
        <v>1056006</v>
      </c>
      <c r="J13" s="256">
        <f>'Anne-6'!AD17</f>
        <v>110597</v>
      </c>
      <c r="K13" s="257">
        <f t="shared" si="2"/>
        <v>1166603</v>
      </c>
      <c r="L13" s="255">
        <f t="shared" si="3"/>
        <v>1251879</v>
      </c>
      <c r="M13" s="256">
        <f t="shared" si="4"/>
        <v>170296</v>
      </c>
      <c r="N13" s="257">
        <f t="shared" si="5"/>
        <v>1422175</v>
      </c>
      <c r="S13" s="81">
        <f t="shared" si="6"/>
        <v>1056006</v>
      </c>
      <c r="T13" s="81">
        <f t="shared" si="7"/>
        <v>110597</v>
      </c>
    </row>
    <row r="14" spans="1:20" ht="18" customHeight="1">
      <c r="A14" s="246">
        <v>10</v>
      </c>
      <c r="B14" s="247" t="s">
        <v>30</v>
      </c>
      <c r="C14" s="255">
        <f>'Anne-8'!R18</f>
        <v>142896</v>
      </c>
      <c r="D14" s="256">
        <f>'Anne-8'!S18</f>
        <v>15195</v>
      </c>
      <c r="E14" s="257">
        <f t="shared" si="0"/>
        <v>158091</v>
      </c>
      <c r="F14" s="255">
        <f>'Anne-7'!Q18+'Anne-7'!T18</f>
        <v>18886</v>
      </c>
      <c r="G14" s="256">
        <f>'Anne-7'!R18+'Anne-7'!U18</f>
        <v>81414</v>
      </c>
      <c r="H14" s="257">
        <f t="shared" si="1"/>
        <v>100300</v>
      </c>
      <c r="I14" s="255">
        <f>'Anne-6'!AC18</f>
        <v>1073028</v>
      </c>
      <c r="J14" s="256">
        <f>'Anne-6'!AD18</f>
        <v>418902</v>
      </c>
      <c r="K14" s="257">
        <f t="shared" si="2"/>
        <v>1491930</v>
      </c>
      <c r="L14" s="255">
        <f t="shared" si="3"/>
        <v>1234810</v>
      </c>
      <c r="M14" s="256">
        <f t="shared" si="4"/>
        <v>515511</v>
      </c>
      <c r="N14" s="257">
        <f t="shared" si="5"/>
        <v>1750321</v>
      </c>
      <c r="S14" s="81">
        <f t="shared" si="6"/>
        <v>1073028</v>
      </c>
      <c r="T14" s="81">
        <f t="shared" si="7"/>
        <v>418902</v>
      </c>
    </row>
    <row r="15" spans="1:20" ht="18" customHeight="1">
      <c r="A15" s="246">
        <v>11</v>
      </c>
      <c r="B15" s="247" t="s">
        <v>31</v>
      </c>
      <c r="C15" s="255">
        <f>'Anne-8'!R19</f>
        <v>1256524</v>
      </c>
      <c r="D15" s="256">
        <f>'Anne-8'!S19</f>
        <v>357111</v>
      </c>
      <c r="E15" s="257">
        <f t="shared" si="0"/>
        <v>1613635</v>
      </c>
      <c r="F15" s="255">
        <f>'Anne-7'!Q19+'Anne-7'!T19</f>
        <v>33803</v>
      </c>
      <c r="G15" s="256">
        <f>'Anne-7'!R19+'Anne-7'!U19</f>
        <v>111960</v>
      </c>
      <c r="H15" s="257">
        <f t="shared" si="1"/>
        <v>145763</v>
      </c>
      <c r="I15" s="255">
        <f>'Anne-6'!AC19</f>
        <v>5495201</v>
      </c>
      <c r="J15" s="256">
        <f>'Anne-6'!AD19</f>
        <v>1460567</v>
      </c>
      <c r="K15" s="257">
        <f t="shared" si="2"/>
        <v>6955768</v>
      </c>
      <c r="L15" s="255">
        <f t="shared" si="3"/>
        <v>6785528</v>
      </c>
      <c r="M15" s="256">
        <f t="shared" si="4"/>
        <v>1929638</v>
      </c>
      <c r="N15" s="257">
        <f t="shared" si="5"/>
        <v>8715166</v>
      </c>
      <c r="S15" s="81">
        <f t="shared" si="6"/>
        <v>5495201</v>
      </c>
      <c r="T15" s="81">
        <f t="shared" si="7"/>
        <v>1460567</v>
      </c>
    </row>
    <row r="16" spans="1:20" ht="18" customHeight="1">
      <c r="A16" s="246">
        <v>12</v>
      </c>
      <c r="B16" s="247" t="s">
        <v>32</v>
      </c>
      <c r="C16" s="255">
        <f>'Anne-8'!R20</f>
        <v>897650</v>
      </c>
      <c r="D16" s="256">
        <f>'Anne-8'!S20</f>
        <v>1973837</v>
      </c>
      <c r="E16" s="257">
        <f t="shared" si="0"/>
        <v>2871487</v>
      </c>
      <c r="F16" s="255">
        <f>'Anne-7'!Q20+'Anne-7'!T20</f>
        <v>39245</v>
      </c>
      <c r="G16" s="256">
        <f>'Anne-7'!R20+'Anne-7'!U20</f>
        <v>221404</v>
      </c>
      <c r="H16" s="257">
        <f t="shared" si="1"/>
        <v>260649</v>
      </c>
      <c r="I16" s="255">
        <f>'Anne-6'!AC20</f>
        <v>4630970</v>
      </c>
      <c r="J16" s="256">
        <f>'Anne-6'!AD20</f>
        <v>3125348</v>
      </c>
      <c r="K16" s="257">
        <f t="shared" si="2"/>
        <v>7756318</v>
      </c>
      <c r="L16" s="255">
        <f t="shared" si="3"/>
        <v>5567865</v>
      </c>
      <c r="M16" s="256">
        <f t="shared" si="4"/>
        <v>5320589</v>
      </c>
      <c r="N16" s="257">
        <f t="shared" si="5"/>
        <v>10888454</v>
      </c>
      <c r="S16" s="81">
        <f t="shared" si="6"/>
        <v>4630970</v>
      </c>
      <c r="T16" s="81">
        <f t="shared" si="7"/>
        <v>3125348</v>
      </c>
    </row>
    <row r="17" spans="1:20" ht="18" customHeight="1">
      <c r="A17" s="246">
        <v>13</v>
      </c>
      <c r="B17" s="247" t="s">
        <v>33</v>
      </c>
      <c r="C17" s="255">
        <f>'Anne-8'!R21</f>
        <v>554722</v>
      </c>
      <c r="D17" s="256">
        <f>'Anne-8'!S21</f>
        <v>137401</v>
      </c>
      <c r="E17" s="257">
        <f t="shared" si="0"/>
        <v>692123</v>
      </c>
      <c r="F17" s="255">
        <f>'Anne-7'!Q21+'Anne-7'!T21</f>
        <v>24048</v>
      </c>
      <c r="G17" s="256">
        <f>'Anne-7'!R21+'Anne-7'!U21</f>
        <v>59197</v>
      </c>
      <c r="H17" s="257">
        <f t="shared" si="1"/>
        <v>83245</v>
      </c>
      <c r="I17" s="255">
        <f>'Anne-6'!AC21</f>
        <v>2150148</v>
      </c>
      <c r="J17" s="256">
        <f>'Anne-6'!AD21</f>
        <v>1143432</v>
      </c>
      <c r="K17" s="257">
        <f t="shared" si="2"/>
        <v>3293580</v>
      </c>
      <c r="L17" s="255">
        <f t="shared" si="3"/>
        <v>2728918</v>
      </c>
      <c r="M17" s="256">
        <f t="shared" si="4"/>
        <v>1340030</v>
      </c>
      <c r="N17" s="257">
        <f t="shared" si="5"/>
        <v>4068948</v>
      </c>
      <c r="S17" s="81">
        <f t="shared" si="6"/>
        <v>2150148</v>
      </c>
      <c r="T17" s="81">
        <f t="shared" si="7"/>
        <v>1143432</v>
      </c>
    </row>
    <row r="18" spans="1:20" ht="18" customHeight="1">
      <c r="A18" s="246">
        <v>14</v>
      </c>
      <c r="B18" s="247" t="s">
        <v>34</v>
      </c>
      <c r="C18" s="255">
        <f>'Anne-8'!R22</f>
        <v>1413354</v>
      </c>
      <c r="D18" s="256">
        <f>'Anne-8'!S22</f>
        <v>529324</v>
      </c>
      <c r="E18" s="257">
        <f t="shared" si="0"/>
        <v>1942678</v>
      </c>
      <c r="F18" s="255">
        <f>'Anne-7'!Q22+'Anne-7'!T22</f>
        <v>38917</v>
      </c>
      <c r="G18" s="256">
        <f>'Anne-7'!R22+'Anne-7'!U22</f>
        <v>96521</v>
      </c>
      <c r="H18" s="257">
        <f t="shared" si="1"/>
        <v>135438</v>
      </c>
      <c r="I18" s="255">
        <f>'Anne-6'!AC22</f>
        <v>4111557</v>
      </c>
      <c r="J18" s="256">
        <f>'Anne-6'!AD22</f>
        <v>2365457</v>
      </c>
      <c r="K18" s="257">
        <f t="shared" si="2"/>
        <v>6477014</v>
      </c>
      <c r="L18" s="255">
        <f t="shared" si="3"/>
        <v>5563828</v>
      </c>
      <c r="M18" s="256">
        <f t="shared" si="4"/>
        <v>2991302</v>
      </c>
      <c r="N18" s="257">
        <f t="shared" si="5"/>
        <v>8555130</v>
      </c>
      <c r="S18" s="81">
        <f t="shared" si="6"/>
        <v>4111557</v>
      </c>
      <c r="T18" s="81">
        <f t="shared" si="7"/>
        <v>2365457</v>
      </c>
    </row>
    <row r="19" spans="1:20" ht="18" customHeight="1">
      <c r="A19" s="246">
        <v>15</v>
      </c>
      <c r="B19" s="247" t="s">
        <v>35</v>
      </c>
      <c r="C19" s="255">
        <f>'Anne-8'!R23</f>
        <v>59032</v>
      </c>
      <c r="D19" s="256">
        <f>'Anne-8'!S23</f>
        <v>20486</v>
      </c>
      <c r="E19" s="257">
        <f t="shared" si="0"/>
        <v>79518</v>
      </c>
      <c r="F19" s="255">
        <f>'Anne-7'!Q23+'Anne-7'!T23</f>
        <v>834</v>
      </c>
      <c r="G19" s="256">
        <f>'Anne-7'!R23+'Anne-7'!U23</f>
        <v>66771</v>
      </c>
      <c r="H19" s="257">
        <f t="shared" si="1"/>
        <v>67605</v>
      </c>
      <c r="I19" s="255">
        <f>'Anne-6'!AC23</f>
        <v>660414</v>
      </c>
      <c r="J19" s="256">
        <f>'Anne-6'!AD23</f>
        <v>279309</v>
      </c>
      <c r="K19" s="257">
        <f t="shared" si="2"/>
        <v>939723</v>
      </c>
      <c r="L19" s="255">
        <f t="shared" si="3"/>
        <v>720280</v>
      </c>
      <c r="M19" s="256">
        <f t="shared" si="4"/>
        <v>366566</v>
      </c>
      <c r="N19" s="257">
        <f t="shared" si="5"/>
        <v>1086846</v>
      </c>
      <c r="S19" s="81">
        <f t="shared" si="6"/>
        <v>660414</v>
      </c>
      <c r="T19" s="81">
        <f t="shared" si="7"/>
        <v>279309</v>
      </c>
    </row>
    <row r="20" spans="1:20" ht="18" customHeight="1">
      <c r="A20" s="246">
        <v>16</v>
      </c>
      <c r="B20" s="247" t="s">
        <v>36</v>
      </c>
      <c r="C20" s="255">
        <f>'Anne-8'!R24</f>
        <v>48576</v>
      </c>
      <c r="D20" s="256">
        <f>'Anne-8'!S24</f>
        <v>15353</v>
      </c>
      <c r="E20" s="257">
        <f t="shared" si="0"/>
        <v>63929</v>
      </c>
      <c r="F20" s="255">
        <f>'Anne-7'!Q24+'Anne-7'!T24</f>
        <v>38014</v>
      </c>
      <c r="G20" s="256">
        <f>'Anne-7'!R24+'Anne-7'!U24</f>
        <v>45531</v>
      </c>
      <c r="H20" s="257">
        <f t="shared" si="1"/>
        <v>83545</v>
      </c>
      <c r="I20" s="255">
        <f>'Anne-6'!AC24</f>
        <v>451641</v>
      </c>
      <c r="J20" s="256">
        <f>'Anne-6'!AD24</f>
        <v>266485</v>
      </c>
      <c r="K20" s="257">
        <f t="shared" si="2"/>
        <v>718126</v>
      </c>
      <c r="L20" s="255">
        <f t="shared" si="3"/>
        <v>538231</v>
      </c>
      <c r="M20" s="256">
        <f t="shared" si="4"/>
        <v>327369</v>
      </c>
      <c r="N20" s="257">
        <f t="shared" si="5"/>
        <v>865600</v>
      </c>
      <c r="S20" s="81">
        <f t="shared" si="6"/>
        <v>451641</v>
      </c>
      <c r="T20" s="81">
        <f t="shared" si="7"/>
        <v>266485</v>
      </c>
    </row>
    <row r="21" spans="1:20" ht="18" customHeight="1">
      <c r="A21" s="246">
        <v>17</v>
      </c>
      <c r="B21" s="247" t="s">
        <v>37</v>
      </c>
      <c r="C21" s="255">
        <f>'Anne-8'!R25</f>
        <v>248464</v>
      </c>
      <c r="D21" s="256">
        <f>'Anne-8'!S25</f>
        <v>99686</v>
      </c>
      <c r="E21" s="257">
        <f t="shared" si="0"/>
        <v>348150</v>
      </c>
      <c r="F21" s="255">
        <f>'Anne-7'!Q25+'Anne-7'!T25</f>
        <v>23369</v>
      </c>
      <c r="G21" s="256">
        <f>'Anne-7'!R25+'Anne-7'!U25</f>
        <v>38466</v>
      </c>
      <c r="H21" s="257">
        <f t="shared" si="1"/>
        <v>61835</v>
      </c>
      <c r="I21" s="255">
        <f>'Anne-6'!AC25</f>
        <v>2656246</v>
      </c>
      <c r="J21" s="256">
        <f>'Anne-6'!AD25</f>
        <v>1810949</v>
      </c>
      <c r="K21" s="257">
        <f t="shared" si="2"/>
        <v>4467195</v>
      </c>
      <c r="L21" s="255">
        <f t="shared" si="3"/>
        <v>2928079</v>
      </c>
      <c r="M21" s="256">
        <f t="shared" si="4"/>
        <v>1949101</v>
      </c>
      <c r="N21" s="257">
        <f t="shared" si="5"/>
        <v>4877180</v>
      </c>
      <c r="S21" s="81">
        <f t="shared" si="6"/>
        <v>2656246</v>
      </c>
      <c r="T21" s="81">
        <f t="shared" si="7"/>
        <v>1810949</v>
      </c>
    </row>
    <row r="22" spans="1:20" ht="18" customHeight="1">
      <c r="A22" s="246">
        <v>18</v>
      </c>
      <c r="B22" s="247" t="s">
        <v>38</v>
      </c>
      <c r="C22" s="255">
        <f>'Anne-8'!R26</f>
        <v>571143</v>
      </c>
      <c r="D22" s="256">
        <f>'Anne-8'!S26</f>
        <v>363997</v>
      </c>
      <c r="E22" s="257">
        <f t="shared" si="0"/>
        <v>935140</v>
      </c>
      <c r="F22" s="255">
        <f>'Anne-7'!Q26+'Anne-7'!T26</f>
        <v>16274</v>
      </c>
      <c r="G22" s="256">
        <f>'Anne-7'!R26+'Anne-7'!U26</f>
        <v>19633</v>
      </c>
      <c r="H22" s="257">
        <f t="shared" si="1"/>
        <v>35907</v>
      </c>
      <c r="I22" s="255">
        <f>'Anne-6'!AC26</f>
        <v>2718589</v>
      </c>
      <c r="J22" s="256">
        <f>'Anne-6'!AD26</f>
        <v>1741511</v>
      </c>
      <c r="K22" s="257">
        <f t="shared" si="2"/>
        <v>4460100</v>
      </c>
      <c r="L22" s="255">
        <f t="shared" si="3"/>
        <v>3306006</v>
      </c>
      <c r="M22" s="256">
        <f t="shared" si="4"/>
        <v>2125141</v>
      </c>
      <c r="N22" s="257">
        <f t="shared" si="5"/>
        <v>5431147</v>
      </c>
      <c r="S22" s="81">
        <f t="shared" si="6"/>
        <v>2718589</v>
      </c>
      <c r="T22" s="81">
        <f t="shared" si="7"/>
        <v>1741511</v>
      </c>
    </row>
    <row r="23" spans="1:20" ht="18" customHeight="1">
      <c r="A23" s="246">
        <v>19</v>
      </c>
      <c r="B23" s="247" t="s">
        <v>39</v>
      </c>
      <c r="C23" s="255">
        <f>'Anne-8'!R27</f>
        <v>626968</v>
      </c>
      <c r="D23" s="256">
        <f>'Anne-8'!S27</f>
        <v>226010</v>
      </c>
      <c r="E23" s="257">
        <f t="shared" si="0"/>
        <v>852978</v>
      </c>
      <c r="F23" s="255">
        <f>'Anne-7'!Q27+'Anne-7'!T27</f>
        <v>31220</v>
      </c>
      <c r="G23" s="256">
        <f>'Anne-7'!R27+'Anne-7'!U27</f>
        <v>139877</v>
      </c>
      <c r="H23" s="257">
        <f t="shared" si="1"/>
        <v>171097</v>
      </c>
      <c r="I23" s="255">
        <f>'Anne-6'!AC27</f>
        <v>3928464</v>
      </c>
      <c r="J23" s="256">
        <f>'Anne-6'!AD27</f>
        <v>1791856</v>
      </c>
      <c r="K23" s="257">
        <f t="shared" si="2"/>
        <v>5720320</v>
      </c>
      <c r="L23" s="255">
        <f t="shared" si="3"/>
        <v>4586652</v>
      </c>
      <c r="M23" s="256">
        <f t="shared" si="4"/>
        <v>2157743</v>
      </c>
      <c r="N23" s="257">
        <f t="shared" si="5"/>
        <v>6744395</v>
      </c>
      <c r="S23" s="81">
        <f t="shared" si="6"/>
        <v>3928464</v>
      </c>
      <c r="T23" s="81">
        <f t="shared" si="7"/>
        <v>1791856</v>
      </c>
    </row>
    <row r="24" spans="1:20" ht="18" customHeight="1">
      <c r="A24" s="246">
        <v>20</v>
      </c>
      <c r="B24" s="247" t="s">
        <v>40</v>
      </c>
      <c r="C24" s="255">
        <f>'Anne-8'!R28</f>
        <v>1019091</v>
      </c>
      <c r="D24" s="256">
        <f>'Anne-8'!S28</f>
        <v>503277</v>
      </c>
      <c r="E24" s="257">
        <f t="shared" si="0"/>
        <v>1522368</v>
      </c>
      <c r="F24" s="255">
        <f>'Anne-7'!Q28+'Anne-7'!T28</f>
        <v>7767</v>
      </c>
      <c r="G24" s="256">
        <f>'Anne-7'!R28+'Anne-7'!U28</f>
        <v>81011</v>
      </c>
      <c r="H24" s="257">
        <f t="shared" si="1"/>
        <v>88778</v>
      </c>
      <c r="I24" s="255">
        <f>'Anne-6'!AC28</f>
        <v>7118081</v>
      </c>
      <c r="J24" s="256">
        <f>'Anne-6'!AD28</f>
        <v>880699</v>
      </c>
      <c r="K24" s="257">
        <f t="shared" si="2"/>
        <v>7998780</v>
      </c>
      <c r="L24" s="255">
        <f t="shared" si="3"/>
        <v>8144939</v>
      </c>
      <c r="M24" s="256">
        <f t="shared" si="4"/>
        <v>1464987</v>
      </c>
      <c r="N24" s="257">
        <f t="shared" si="5"/>
        <v>9609926</v>
      </c>
      <c r="S24" s="81">
        <f t="shared" si="6"/>
        <v>7118081</v>
      </c>
      <c r="T24" s="81">
        <f t="shared" si="7"/>
        <v>880699</v>
      </c>
    </row>
    <row r="25" spans="1:20" ht="18" customHeight="1">
      <c r="A25" s="246">
        <v>21</v>
      </c>
      <c r="B25" s="247" t="s">
        <v>41</v>
      </c>
      <c r="C25" s="255">
        <f>'Anne-8'!R29</f>
        <v>137118</v>
      </c>
      <c r="D25" s="256">
        <f>'Anne-8'!S29</f>
        <v>35467</v>
      </c>
      <c r="E25" s="257">
        <f t="shared" si="0"/>
        <v>172585</v>
      </c>
      <c r="F25" s="255">
        <f>'Anne-7'!Q29+'Anne-7'!T29</f>
        <v>490</v>
      </c>
      <c r="G25" s="256">
        <f>'Anne-7'!R29+'Anne-7'!U29</f>
        <v>41753</v>
      </c>
      <c r="H25" s="257">
        <f t="shared" si="1"/>
        <v>42243</v>
      </c>
      <c r="I25" s="255">
        <f>'Anne-6'!AC29</f>
        <v>666250</v>
      </c>
      <c r="J25" s="256">
        <f>'Anne-6'!AD29</f>
        <v>507280</v>
      </c>
      <c r="K25" s="257">
        <f t="shared" si="2"/>
        <v>1173530</v>
      </c>
      <c r="L25" s="255">
        <f t="shared" si="3"/>
        <v>803858</v>
      </c>
      <c r="M25" s="256">
        <f t="shared" si="4"/>
        <v>584500</v>
      </c>
      <c r="N25" s="257">
        <f t="shared" si="5"/>
        <v>1388358</v>
      </c>
      <c r="S25" s="81">
        <f t="shared" si="6"/>
        <v>666250</v>
      </c>
      <c r="T25" s="81">
        <f t="shared" si="7"/>
        <v>507280</v>
      </c>
    </row>
    <row r="26" spans="1:20" ht="18" customHeight="1">
      <c r="A26" s="246">
        <v>22</v>
      </c>
      <c r="B26" s="247" t="s">
        <v>42</v>
      </c>
      <c r="C26" s="255">
        <f>'Anne-8'!R30</f>
        <v>570800</v>
      </c>
      <c r="D26" s="256">
        <f>'Anne-8'!S30</f>
        <v>195915</v>
      </c>
      <c r="E26" s="257">
        <f t="shared" si="0"/>
        <v>766715</v>
      </c>
      <c r="F26" s="255">
        <f>'Anne-7'!Q30+'Anne-7'!T30</f>
        <v>63309</v>
      </c>
      <c r="G26" s="256">
        <f>'Anne-7'!R30+'Anne-7'!U30</f>
        <v>230759</v>
      </c>
      <c r="H26" s="257">
        <f t="shared" si="1"/>
        <v>294068</v>
      </c>
      <c r="I26" s="255">
        <f>'Anne-6'!AC30</f>
        <v>7078997</v>
      </c>
      <c r="J26" s="256">
        <f>'Anne-6'!AD30</f>
        <v>2831847</v>
      </c>
      <c r="K26" s="257">
        <f t="shared" si="2"/>
        <v>9910844</v>
      </c>
      <c r="L26" s="255">
        <f t="shared" si="3"/>
        <v>7713106</v>
      </c>
      <c r="M26" s="256">
        <f t="shared" si="4"/>
        <v>3258521</v>
      </c>
      <c r="N26" s="257">
        <f t="shared" si="5"/>
        <v>10971627</v>
      </c>
      <c r="S26" s="81">
        <f t="shared" si="6"/>
        <v>7078997</v>
      </c>
      <c r="T26" s="81">
        <f t="shared" si="7"/>
        <v>2831847</v>
      </c>
    </row>
    <row r="27" spans="1:20" ht="18" customHeight="1">
      <c r="A27" s="246">
        <v>23</v>
      </c>
      <c r="B27" s="247" t="s">
        <v>43</v>
      </c>
      <c r="C27" s="255">
        <f>'Anne-8'!R31</f>
        <v>382486</v>
      </c>
      <c r="D27" s="256">
        <f>'Anne-8'!S31</f>
        <v>61529</v>
      </c>
      <c r="E27" s="257">
        <f t="shared" si="0"/>
        <v>444015</v>
      </c>
      <c r="F27" s="255">
        <f>'Anne-7'!Q31+'Anne-7'!T31</f>
        <v>13454</v>
      </c>
      <c r="G27" s="256">
        <f>'Anne-7'!R31+'Anne-7'!U31</f>
        <v>35274</v>
      </c>
      <c r="H27" s="257">
        <f t="shared" si="1"/>
        <v>48728</v>
      </c>
      <c r="I27" s="255">
        <f>'Anne-6'!AC31</f>
        <v>2537077</v>
      </c>
      <c r="J27" s="256">
        <f>'Anne-6'!AD31</f>
        <v>803812</v>
      </c>
      <c r="K27" s="257">
        <f t="shared" si="2"/>
        <v>3340889</v>
      </c>
      <c r="L27" s="255">
        <f t="shared" si="3"/>
        <v>2933017</v>
      </c>
      <c r="M27" s="256">
        <f t="shared" si="4"/>
        <v>900615</v>
      </c>
      <c r="N27" s="257">
        <f t="shared" si="5"/>
        <v>3833632</v>
      </c>
      <c r="S27" s="81">
        <f t="shared" si="6"/>
        <v>2537077</v>
      </c>
      <c r="T27" s="81">
        <f t="shared" si="7"/>
        <v>803812</v>
      </c>
    </row>
    <row r="28" spans="1:20" ht="18" customHeight="1">
      <c r="A28" s="246">
        <v>24</v>
      </c>
      <c r="B28" s="247" t="s">
        <v>44</v>
      </c>
      <c r="C28" s="255">
        <f>'Anne-8'!R32</f>
        <v>264509</v>
      </c>
      <c r="D28" s="256">
        <f>'Anne-8'!S32</f>
        <v>243260</v>
      </c>
      <c r="E28" s="257">
        <f t="shared" si="0"/>
        <v>507769</v>
      </c>
      <c r="F28" s="255">
        <f>'Anne-7'!Q32+'Anne-7'!T32</f>
        <v>969</v>
      </c>
      <c r="G28" s="256">
        <f>'Anne-7'!R32+'Anne-7'!U32</f>
        <v>59247</v>
      </c>
      <c r="H28" s="257">
        <f t="shared" si="1"/>
        <v>60216</v>
      </c>
      <c r="I28" s="255">
        <f>'Anne-6'!AC32</f>
        <v>1358319</v>
      </c>
      <c r="J28" s="256">
        <f>'Anne-6'!AD32</f>
        <v>1322509</v>
      </c>
      <c r="K28" s="257">
        <f t="shared" si="2"/>
        <v>2680828</v>
      </c>
      <c r="L28" s="255">
        <f t="shared" si="3"/>
        <v>1623797</v>
      </c>
      <c r="M28" s="256">
        <f t="shared" si="4"/>
        <v>1625016</v>
      </c>
      <c r="N28" s="257">
        <f t="shared" si="5"/>
        <v>3248813</v>
      </c>
      <c r="S28" s="81">
        <f t="shared" si="6"/>
        <v>1358319</v>
      </c>
      <c r="T28" s="81">
        <f t="shared" si="7"/>
        <v>1322509</v>
      </c>
    </row>
    <row r="29" spans="1:20" ht="18" customHeight="1">
      <c r="A29" s="246">
        <v>25</v>
      </c>
      <c r="B29" s="247" t="s">
        <v>45</v>
      </c>
      <c r="C29" s="255">
        <f>'Anne-8'!R33</f>
        <v>886504</v>
      </c>
      <c r="D29" s="256">
        <f>'Anne-8'!S33</f>
        <v>0</v>
      </c>
      <c r="E29" s="257">
        <f t="shared" si="0"/>
        <v>886504</v>
      </c>
      <c r="F29" s="255">
        <f>'Anne-7'!Q33+'Anne-7'!T33</f>
        <v>22543</v>
      </c>
      <c r="G29" s="256">
        <f>'Anne-7'!R33+'Anne-7'!U33</f>
        <v>0</v>
      </c>
      <c r="H29" s="257">
        <f t="shared" si="1"/>
        <v>22543</v>
      </c>
      <c r="I29" s="255">
        <f>'Anne-6'!AC33</f>
        <v>2259186</v>
      </c>
      <c r="J29" s="256">
        <f>'Anne-6'!AD33</f>
        <v>0</v>
      </c>
      <c r="K29" s="257">
        <f t="shared" si="2"/>
        <v>2259186</v>
      </c>
      <c r="L29" s="255">
        <f t="shared" si="3"/>
        <v>3168233</v>
      </c>
      <c r="M29" s="256">
        <f t="shared" si="4"/>
        <v>0</v>
      </c>
      <c r="N29" s="257">
        <f t="shared" si="5"/>
        <v>3168233</v>
      </c>
      <c r="S29" s="81">
        <f t="shared" si="6"/>
        <v>2259186</v>
      </c>
      <c r="T29" s="81">
        <f t="shared" si="7"/>
        <v>0</v>
      </c>
    </row>
    <row r="30" spans="1:20" ht="18" customHeight="1">
      <c r="A30" s="246">
        <v>26</v>
      </c>
      <c r="B30" s="247" t="s">
        <v>46</v>
      </c>
      <c r="C30" s="255">
        <f>'Anne-8'!R34</f>
        <v>767037</v>
      </c>
      <c r="D30" s="256">
        <f>'Anne-8'!S34</f>
        <v>21184</v>
      </c>
      <c r="E30" s="257">
        <f t="shared" si="0"/>
        <v>788221</v>
      </c>
      <c r="F30" s="255">
        <f>'Anne-7'!Q34+'Anne-7'!T34</f>
        <v>2421</v>
      </c>
      <c r="G30" s="256">
        <f>'Anne-7'!R34+'Anne-7'!U34</f>
        <v>11452</v>
      </c>
      <c r="H30" s="257">
        <f t="shared" si="1"/>
        <v>13873</v>
      </c>
      <c r="I30" s="255">
        <f>'Anne-6'!AC34</f>
        <v>1460562</v>
      </c>
      <c r="J30" s="256">
        <f>'Anne-6'!AD34</f>
        <v>43455</v>
      </c>
      <c r="K30" s="257">
        <f t="shared" si="2"/>
        <v>1504017</v>
      </c>
      <c r="L30" s="255">
        <f t="shared" si="3"/>
        <v>2230020</v>
      </c>
      <c r="M30" s="256">
        <f t="shared" si="4"/>
        <v>76091</v>
      </c>
      <c r="N30" s="257">
        <f t="shared" si="5"/>
        <v>2306111</v>
      </c>
      <c r="S30" s="81">
        <f t="shared" si="6"/>
        <v>1460562</v>
      </c>
      <c r="T30" s="81">
        <f t="shared" si="7"/>
        <v>43455</v>
      </c>
    </row>
    <row r="31" spans="1:16" ht="13.5" thickBot="1">
      <c r="A31" s="708" t="s">
        <v>47</v>
      </c>
      <c r="B31" s="709"/>
      <c r="C31" s="258">
        <f>SUM(C5:C30)</f>
        <v>13116431</v>
      </c>
      <c r="D31" s="259">
        <f aca="true" t="shared" si="8" ref="D31:K31">SUM(D5:D30)</f>
        <v>6252010</v>
      </c>
      <c r="E31" s="260">
        <f t="shared" si="8"/>
        <v>19368441</v>
      </c>
      <c r="F31" s="258">
        <f t="shared" si="8"/>
        <v>529187</v>
      </c>
      <c r="G31" s="259">
        <f t="shared" si="8"/>
        <v>1856167</v>
      </c>
      <c r="H31" s="260">
        <f t="shared" si="8"/>
        <v>2385354</v>
      </c>
      <c r="I31" s="258">
        <f t="shared" si="8"/>
        <v>63779830</v>
      </c>
      <c r="J31" s="259">
        <f t="shared" si="8"/>
        <v>31692997</v>
      </c>
      <c r="K31" s="260">
        <f t="shared" si="8"/>
        <v>95472827</v>
      </c>
      <c r="L31" s="258">
        <f>SUM(L5:L30)</f>
        <v>77425448</v>
      </c>
      <c r="M31" s="259">
        <f>SUM(M5:M30)</f>
        <v>39801174</v>
      </c>
      <c r="N31" s="260">
        <f>SUM(N5:N30)</f>
        <v>117226622</v>
      </c>
      <c r="P31" s="372"/>
    </row>
    <row r="32" ht="12.75">
      <c r="P32" s="372"/>
    </row>
    <row r="33" spans="13:16" ht="12.75">
      <c r="M33">
        <v>42020266</v>
      </c>
      <c r="N33" s="92">
        <f>M31/N31*100</f>
        <v>33.9523337966695</v>
      </c>
      <c r="P33" s="372"/>
    </row>
    <row r="34" spans="10:16" ht="12.75">
      <c r="J34">
        <f>J31/K31*100</f>
        <v>33.19582963642629</v>
      </c>
      <c r="M34" s="157">
        <v>2.42488</v>
      </c>
      <c r="P34" s="372"/>
    </row>
    <row r="35" spans="3:16" ht="12.7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P35" s="372"/>
    </row>
    <row r="40" ht="12.75">
      <c r="M40">
        <f>M31/N31*100</f>
        <v>33.9523337966695</v>
      </c>
    </row>
    <row r="43" spans="11:13" ht="12.75">
      <c r="K43">
        <v>9595</v>
      </c>
      <c r="L43">
        <v>640</v>
      </c>
      <c r="M43">
        <v>105</v>
      </c>
    </row>
    <row r="44" spans="11:13" ht="12.75">
      <c r="K44">
        <v>5639</v>
      </c>
      <c r="L44">
        <v>0</v>
      </c>
      <c r="M44">
        <v>234</v>
      </c>
    </row>
    <row r="45" spans="11:13" ht="12.75">
      <c r="K45">
        <v>2098</v>
      </c>
      <c r="L45">
        <v>128</v>
      </c>
      <c r="M45">
        <v>14</v>
      </c>
    </row>
    <row r="46" spans="11:12" ht="12.75">
      <c r="K46">
        <f>SUM(K43:K45)</f>
        <v>17332</v>
      </c>
      <c r="L46">
        <v>1484</v>
      </c>
    </row>
    <row r="47" ht="12.75">
      <c r="L47">
        <v>3204</v>
      </c>
    </row>
    <row r="48" ht="12.75">
      <c r="K48">
        <v>-656</v>
      </c>
    </row>
  </sheetData>
  <sheetProtection/>
  <mergeCells count="7">
    <mergeCell ref="A31:B31"/>
    <mergeCell ref="I3:K3"/>
    <mergeCell ref="L3:N3"/>
    <mergeCell ref="A3:A4"/>
    <mergeCell ref="B3:B4"/>
    <mergeCell ref="C3:E3"/>
    <mergeCell ref="F3:H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2.421875" style="0" customWidth="1"/>
    <col min="3" max="3" width="19.7109375" style="0" customWidth="1"/>
    <col min="4" max="4" width="19.57421875" style="0" customWidth="1"/>
    <col min="5" max="5" width="28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2" sqref="U2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9.00390625" style="2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275</v>
      </c>
      <c r="C2" s="2"/>
      <c r="D2" s="2"/>
      <c r="E2" s="2"/>
      <c r="G2" s="2"/>
      <c r="H2" s="2"/>
    </row>
    <row r="4" spans="2:33" ht="15">
      <c r="B4" s="26" t="s">
        <v>261</v>
      </c>
      <c r="T4" s="72"/>
      <c r="U4" s="72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569" t="s">
        <v>62</v>
      </c>
      <c r="B6" s="569" t="s">
        <v>63</v>
      </c>
      <c r="C6" s="573" t="s">
        <v>158</v>
      </c>
      <c r="D6" s="574"/>
      <c r="E6" s="575"/>
      <c r="F6" s="166"/>
      <c r="G6" s="567" t="s">
        <v>104</v>
      </c>
      <c r="H6" s="166"/>
      <c r="I6" s="166"/>
      <c r="J6" s="166"/>
      <c r="K6" s="166"/>
      <c r="L6" s="167"/>
      <c r="M6" s="166"/>
      <c r="N6" s="166"/>
      <c r="O6" s="166"/>
      <c r="P6" s="166"/>
      <c r="Q6" s="178"/>
      <c r="R6" s="178"/>
      <c r="S6" s="567" t="s">
        <v>69</v>
      </c>
      <c r="T6" s="569" t="s">
        <v>70</v>
      </c>
      <c r="U6" s="569" t="s">
        <v>128</v>
      </c>
      <c r="V6" s="569"/>
      <c r="W6" s="569"/>
      <c r="X6" s="569" t="s">
        <v>128</v>
      </c>
      <c r="Y6" s="569"/>
      <c r="Z6" s="563" t="s">
        <v>129</v>
      </c>
      <c r="AA6" s="565" t="s">
        <v>102</v>
      </c>
      <c r="AB6" s="570" t="s">
        <v>262</v>
      </c>
      <c r="AC6" s="571"/>
      <c r="AD6" s="572"/>
      <c r="AE6" s="560" t="s">
        <v>86</v>
      </c>
      <c r="AF6" s="561"/>
      <c r="AG6" s="562"/>
    </row>
    <row r="7" spans="1:33" ht="30" customHeight="1">
      <c r="A7" s="569"/>
      <c r="B7" s="569"/>
      <c r="C7" s="49" t="s">
        <v>87</v>
      </c>
      <c r="D7" s="49" t="s">
        <v>88</v>
      </c>
      <c r="E7" s="49" t="s">
        <v>89</v>
      </c>
      <c r="F7" s="49" t="s">
        <v>2</v>
      </c>
      <c r="G7" s="568"/>
      <c r="H7" s="49" t="s">
        <v>3</v>
      </c>
      <c r="I7" s="49" t="s">
        <v>65</v>
      </c>
      <c r="J7" s="49" t="s">
        <v>147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5" t="s">
        <v>136</v>
      </c>
      <c r="R7" s="165" t="s">
        <v>148</v>
      </c>
      <c r="S7" s="568"/>
      <c r="T7" s="569"/>
      <c r="U7" s="164" t="s">
        <v>90</v>
      </c>
      <c r="V7" s="164" t="s">
        <v>91</v>
      </c>
      <c r="W7" s="164" t="s">
        <v>92</v>
      </c>
      <c r="X7" s="49" t="s">
        <v>105</v>
      </c>
      <c r="Y7" s="47" t="s">
        <v>93</v>
      </c>
      <c r="Z7" s="564"/>
      <c r="AA7" s="566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'Anne-8'!R9+'Anne-7'!Q9+'Anne-7'!T9+'Anne-6'!AC9</f>
        <v>138017</v>
      </c>
      <c r="D8" s="60">
        <f>'Anne-8'!S9+'Anne-7'!R9+'Anne-7'!U9+'Anne-6'!AD9</f>
        <v>100078</v>
      </c>
      <c r="E8" s="58">
        <f>C8+D8</f>
        <v>238095</v>
      </c>
      <c r="F8" s="58"/>
      <c r="G8" s="438" t="s">
        <v>206</v>
      </c>
      <c r="H8" s="438" t="s">
        <v>206</v>
      </c>
      <c r="I8" s="438" t="s">
        <v>206</v>
      </c>
      <c r="J8" s="438" t="s">
        <v>206</v>
      </c>
      <c r="K8" s="438" t="s">
        <v>206</v>
      </c>
      <c r="L8" s="438" t="s">
        <v>206</v>
      </c>
      <c r="M8" s="438" t="s">
        <v>206</v>
      </c>
      <c r="N8" s="438" t="s">
        <v>206</v>
      </c>
      <c r="O8" s="438" t="s">
        <v>206</v>
      </c>
      <c r="P8" s="438" t="s">
        <v>206</v>
      </c>
      <c r="Q8" s="438" t="s">
        <v>206</v>
      </c>
      <c r="R8" s="438" t="s">
        <v>206</v>
      </c>
      <c r="S8" s="438" t="s">
        <v>206</v>
      </c>
      <c r="T8" s="438" t="s">
        <v>206</v>
      </c>
      <c r="U8" s="152">
        <f aca="true" t="shared" si="0" ref="U8:U31">C8/(AC8*1000)*100</f>
        <v>74.82371006305897</v>
      </c>
      <c r="V8" s="152">
        <f aca="true" t="shared" si="1" ref="V8:V31">D8/(AD8*1000)*100</f>
        <v>33.23272158267918</v>
      </c>
      <c r="W8" s="152">
        <f aca="true" t="shared" si="2" ref="W8:W34">E8/(AB8*1000)*100</f>
        <v>49.03117707086164</v>
      </c>
      <c r="X8" s="152"/>
      <c r="Y8" s="152"/>
      <c r="Z8" s="153"/>
      <c r="AA8" s="58"/>
      <c r="AB8" s="58">
        <f aca="true" t="shared" si="3" ref="AB8:AB33">AC8+AD8</f>
        <v>485.5991926440935</v>
      </c>
      <c r="AC8" s="58">
        <v>184.4562370452946</v>
      </c>
      <c r="AD8" s="58">
        <v>301.14295559879884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'Anne-8'!R10+'Anne-7'!Q10+'Anne-7'!T10+'Anne-6'!AC10</f>
        <v>5448203</v>
      </c>
      <c r="D9" s="60">
        <f>'Anne-8'!S10+'Anne-7'!R10+'Anne-7'!U10+'Anne-6'!AD10</f>
        <v>5739470</v>
      </c>
      <c r="E9" s="58">
        <f aca="true" t="shared" si="5" ref="E9:E33">C9+D9</f>
        <v>11187673</v>
      </c>
      <c r="F9" s="58"/>
      <c r="G9" s="58">
        <f>E9</f>
        <v>11187673</v>
      </c>
      <c r="H9" s="58">
        <f>'Anne-6'!G10+'Anne-8'!H10</f>
        <v>19028010</v>
      </c>
      <c r="I9" s="58">
        <f>'Anne-6'!S10+'Anne-7'!I10+'Anne-8'!I10</f>
        <v>5926678</v>
      </c>
      <c r="J9" s="58">
        <f>'Anne-6'!I10+'Anne-8'!M10</f>
        <v>5869742</v>
      </c>
      <c r="K9" s="58">
        <f>'Anne-7'!J10+'Anne-8'!J10</f>
        <v>6587765</v>
      </c>
      <c r="L9" s="58">
        <f>'Anne-6'!N10</f>
        <v>11981302</v>
      </c>
      <c r="M9" s="58">
        <f>'Anne-6'!K10</f>
        <v>1858428</v>
      </c>
      <c r="N9" s="217">
        <f>'Anne-6'!X10</f>
        <v>0</v>
      </c>
      <c r="O9" s="58"/>
      <c r="P9" s="58">
        <f>'Anne-7'!L10+'Anne-8'!L10</f>
        <v>0</v>
      </c>
      <c r="Q9" s="58">
        <f>'Anne-4'!O9</f>
        <v>4414731</v>
      </c>
      <c r="R9" s="58">
        <f>'Anne-6'!W10</f>
        <v>0</v>
      </c>
      <c r="S9" s="58">
        <f aca="true" t="shared" si="6" ref="S9:S37">H9+I9+K9+J9+L9+M9+N9+O9+P9+Q9+R9</f>
        <v>55666656</v>
      </c>
      <c r="T9" s="58">
        <f aca="true" t="shared" si="7" ref="T9:T33">G9+S9</f>
        <v>66854329</v>
      </c>
      <c r="U9" s="152">
        <f t="shared" si="0"/>
        <v>22.726413048012347</v>
      </c>
      <c r="V9" s="152">
        <f t="shared" si="1"/>
        <v>9.157109181487849</v>
      </c>
      <c r="W9" s="152">
        <f t="shared" si="2"/>
        <v>12.911224657605388</v>
      </c>
      <c r="X9" s="152">
        <f>G9/(AA9*1000)*100</f>
        <v>12.911224657605388</v>
      </c>
      <c r="Y9" s="152">
        <f>T9/(AA9*1000)*100</f>
        <v>77.15377997305274</v>
      </c>
      <c r="Z9" s="153">
        <f>G9/T9*100</f>
        <v>16.734403242608266</v>
      </c>
      <c r="AA9" s="58">
        <f>AB9</f>
        <v>86650.75</v>
      </c>
      <c r="AB9" s="58">
        <f t="shared" si="3"/>
        <v>86650.75</v>
      </c>
      <c r="AC9" s="58">
        <v>23973</v>
      </c>
      <c r="AD9" s="58">
        <v>62677.75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'Anne-8'!R11+'Anne-7'!Q11+'Anne-7'!T11+'Anne-6'!AC11</f>
        <v>991094</v>
      </c>
      <c r="D10" s="60">
        <f>'Anne-8'!S11+'Anne-7'!R11+'Anne-7'!U11+'Anne-6'!AD11</f>
        <v>449496</v>
      </c>
      <c r="E10" s="58">
        <f t="shared" si="5"/>
        <v>1440590</v>
      </c>
      <c r="F10" s="58"/>
      <c r="G10" s="58">
        <f>E10</f>
        <v>1440590</v>
      </c>
      <c r="H10" s="58">
        <f>'Anne-6'!G11+'Anne-8'!H11</f>
        <v>4196065</v>
      </c>
      <c r="I10" s="58">
        <f>'Anne-6'!S11+'Anne-7'!I11+'Anne-8'!I11</f>
        <v>2596410</v>
      </c>
      <c r="J10" s="58">
        <f>'Anne-6'!I11+'Anne-8'!M11</f>
        <v>2556786</v>
      </c>
      <c r="K10" s="58">
        <f>'Anne-7'!J11+'Anne-8'!J11</f>
        <v>0</v>
      </c>
      <c r="L10" s="58">
        <f>'Anne-6'!N11</f>
        <v>476682</v>
      </c>
      <c r="M10" s="58">
        <f>'Anne-6'!K11</f>
        <v>3588972</v>
      </c>
      <c r="N10" s="217">
        <f>'Anne-6'!X11</f>
        <v>0</v>
      </c>
      <c r="O10" s="58"/>
      <c r="P10" s="58">
        <f>'Anne-7'!L11+'Anne-8'!L11</f>
        <v>0</v>
      </c>
      <c r="Q10" s="58">
        <f>'Anne-4'!O10</f>
        <v>0</v>
      </c>
      <c r="R10" s="58">
        <f>'Anne-6'!W11</f>
        <v>0</v>
      </c>
      <c r="S10" s="58">
        <f t="shared" si="6"/>
        <v>13414915</v>
      </c>
      <c r="T10" s="58">
        <f t="shared" si="7"/>
        <v>14855505</v>
      </c>
      <c r="U10" s="152">
        <f t="shared" si="0"/>
        <v>20.55358772293654</v>
      </c>
      <c r="V10" s="152">
        <f t="shared" si="1"/>
        <v>1.682549862437691</v>
      </c>
      <c r="W10" s="152">
        <f t="shared" si="2"/>
        <v>4.567911934595688</v>
      </c>
      <c r="X10" s="152">
        <f>G10/(AA10*1000)*100</f>
        <v>4.567911934595688</v>
      </c>
      <c r="Y10" s="152">
        <f aca="true" t="shared" si="8" ref="Y10:Y37">T10/(AA10*1000)*100</f>
        <v>47.10475470740871</v>
      </c>
      <c r="Z10" s="153">
        <f>G10/T10*100</f>
        <v>9.697347885514494</v>
      </c>
      <c r="AA10" s="58">
        <f>AB10</f>
        <v>31537.166666666675</v>
      </c>
      <c r="AB10" s="58">
        <f t="shared" si="3"/>
        <v>31537.166666666675</v>
      </c>
      <c r="AC10" s="58">
        <v>4822</v>
      </c>
      <c r="AD10" s="58">
        <v>26715.166666666675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'Anne-8'!R12+'Anne-7'!Q12+'Anne-7'!T12+'Anne-6'!AC12</f>
        <v>1379167</v>
      </c>
      <c r="D11" s="60">
        <f>'Anne-8'!S12+'Anne-7'!R12+'Anne-7'!U12+'Anne-6'!AD12</f>
        <v>968316</v>
      </c>
      <c r="E11" s="58">
        <f t="shared" si="5"/>
        <v>2347483</v>
      </c>
      <c r="F11" s="58"/>
      <c r="G11" s="58">
        <f>E11+E17</f>
        <v>4097804</v>
      </c>
      <c r="H11" s="58">
        <f>'Anne-6'!G12+'Anne-8'!H12</f>
        <v>20518049</v>
      </c>
      <c r="I11" s="58">
        <f>'Anne-6'!S12+'Anne-7'!I12+'Anne-8'!I12</f>
        <v>8824067</v>
      </c>
      <c r="J11" s="58">
        <f>'Anne-6'!I12+'Anne-8'!M12</f>
        <v>6747850</v>
      </c>
      <c r="K11" s="58">
        <f>'Anne-7'!J12+'Anne-8'!J12</f>
        <v>3283109</v>
      </c>
      <c r="L11" s="58">
        <f>'Anne-6'!N12</f>
        <v>6164066</v>
      </c>
      <c r="M11" s="58">
        <f>'Anne-6'!K12</f>
        <v>4677210</v>
      </c>
      <c r="N11" s="217">
        <f>'Anne-6'!X12</f>
        <v>0</v>
      </c>
      <c r="O11" s="58"/>
      <c r="P11" s="58">
        <f>'Anne-7'!L12+'Anne-8'!L12</f>
        <v>0</v>
      </c>
      <c r="Q11" s="58">
        <f>'Anne-4'!O11</f>
        <v>4398886</v>
      </c>
      <c r="R11" s="58">
        <f>'Anne-6'!W12</f>
        <v>0</v>
      </c>
      <c r="S11" s="58">
        <f t="shared" si="6"/>
        <v>54613237</v>
      </c>
      <c r="T11" s="58">
        <f t="shared" si="7"/>
        <v>58711041</v>
      </c>
      <c r="U11" s="152">
        <f t="shared" si="0"/>
        <v>12.909137633532161</v>
      </c>
      <c r="V11" s="152">
        <f t="shared" si="1"/>
        <v>1.0718534625569658</v>
      </c>
      <c r="W11" s="152">
        <f t="shared" si="2"/>
        <v>2.3236888090907355</v>
      </c>
      <c r="X11" s="152">
        <f>G11/(AA11*1000)*100</f>
        <v>3.0672970054748157</v>
      </c>
      <c r="Y11" s="152">
        <f t="shared" si="8"/>
        <v>43.946513851714016</v>
      </c>
      <c r="Z11" s="153">
        <f>G11/T11*100</f>
        <v>6.979613936669936</v>
      </c>
      <c r="AA11" s="58">
        <f>AB11+AB17</f>
        <v>133596.58333333334</v>
      </c>
      <c r="AB11" s="58">
        <f t="shared" si="3"/>
        <v>101023.98353928361</v>
      </c>
      <c r="AC11" s="58">
        <v>10683.649358711162</v>
      </c>
      <c r="AD11" s="58">
        <v>90340.33418057245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'Anne-8'!R13+'Anne-7'!Q13+'Anne-7'!T13+'Anne-6'!AC13</f>
        <v>1235554</v>
      </c>
      <c r="D12" s="60">
        <f>'Anne-8'!S13+'Anne-7'!R13+'Anne-7'!U13+'Anne-6'!AD13</f>
        <v>675285</v>
      </c>
      <c r="E12" s="58">
        <f t="shared" si="5"/>
        <v>1910839</v>
      </c>
      <c r="F12" s="58"/>
      <c r="G12" s="438" t="s">
        <v>206</v>
      </c>
      <c r="H12" s="438" t="s">
        <v>206</v>
      </c>
      <c r="I12" s="438" t="s">
        <v>206</v>
      </c>
      <c r="J12" s="438" t="s">
        <v>206</v>
      </c>
      <c r="K12" s="438" t="s">
        <v>206</v>
      </c>
      <c r="L12" s="438" t="s">
        <v>206</v>
      </c>
      <c r="M12" s="438" t="s">
        <v>206</v>
      </c>
      <c r="N12" s="438" t="s">
        <v>206</v>
      </c>
      <c r="O12" s="438" t="s">
        <v>206</v>
      </c>
      <c r="P12" s="438" t="s">
        <v>206</v>
      </c>
      <c r="Q12" s="438" t="s">
        <v>206</v>
      </c>
      <c r="R12" s="438" t="s">
        <v>206</v>
      </c>
      <c r="S12" s="438" t="s">
        <v>206</v>
      </c>
      <c r="T12" s="438" t="s">
        <v>206</v>
      </c>
      <c r="U12" s="152">
        <f t="shared" si="0"/>
        <v>21.09554945279403</v>
      </c>
      <c r="V12" s="152">
        <f t="shared" si="1"/>
        <v>3.4797552609687097</v>
      </c>
      <c r="W12" s="152">
        <f t="shared" si="2"/>
        <v>7.56377069957041</v>
      </c>
      <c r="X12" s="152"/>
      <c r="Y12" s="152"/>
      <c r="Z12" s="153"/>
      <c r="AA12" s="58"/>
      <c r="AB12" s="58">
        <f t="shared" si="3"/>
        <v>25263.047703290733</v>
      </c>
      <c r="AC12" s="58">
        <v>5856.9415447785605</v>
      </c>
      <c r="AD12" s="58">
        <v>19406.10615851217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'Anne-8'!R14+'Anne-7'!Q14+'Anne-7'!T14+'Anne-6'!AC14</f>
        <v>3943734</v>
      </c>
      <c r="D13" s="60">
        <f>'Anne-8'!S14+'Anne-7'!R14+'Anne-7'!U14+'Anne-6'!AD14</f>
        <v>1880099</v>
      </c>
      <c r="E13" s="58">
        <f t="shared" si="5"/>
        <v>5823833</v>
      </c>
      <c r="F13" s="58"/>
      <c r="G13" s="58">
        <f>E13</f>
        <v>5823833</v>
      </c>
      <c r="H13" s="58">
        <f>'Anne-6'!G14+'Anne-8'!H14</f>
        <v>7173252</v>
      </c>
      <c r="I13" s="58">
        <f>'Anne-6'!S14+'Anne-7'!I14+'Anne-8'!I14</f>
        <v>8915270</v>
      </c>
      <c r="J13" s="58">
        <f>'Anne-6'!I14+'Anne-8'!M14</f>
        <v>16519390</v>
      </c>
      <c r="K13" s="58">
        <f>'Anne-7'!J14+'Anne-8'!J14</f>
        <v>2701073</v>
      </c>
      <c r="L13" s="58">
        <f>'Anne-6'!N14</f>
        <v>8690983</v>
      </c>
      <c r="M13" s="58">
        <f>'Anne-6'!K14</f>
        <v>35773</v>
      </c>
      <c r="N13" s="217">
        <f>'Anne-6'!X14</f>
        <v>0</v>
      </c>
      <c r="O13" s="58"/>
      <c r="P13" s="58">
        <f>'Anne-7'!L14+'Anne-8'!L14</f>
        <v>175572</v>
      </c>
      <c r="Q13" s="58">
        <f>'Anne-4'!O13</f>
        <v>4960851</v>
      </c>
      <c r="R13" s="58">
        <f>'Anne-6'!W14</f>
        <v>988327</v>
      </c>
      <c r="S13" s="58">
        <f t="shared" si="6"/>
        <v>50160491</v>
      </c>
      <c r="T13" s="58">
        <f t="shared" si="7"/>
        <v>55984324</v>
      </c>
      <c r="U13" s="152">
        <f t="shared" si="0"/>
        <v>15.541451592245833</v>
      </c>
      <c r="V13" s="152">
        <f t="shared" si="1"/>
        <v>5.174703089520402</v>
      </c>
      <c r="W13" s="152">
        <f t="shared" si="2"/>
        <v>9.437714940101042</v>
      </c>
      <c r="X13" s="152">
        <f>G13/(AA13*1000)*100</f>
        <v>9.437714940101042</v>
      </c>
      <c r="Y13" s="152">
        <f t="shared" si="8"/>
        <v>90.72445776282686</v>
      </c>
      <c r="Z13" s="153">
        <f>G13/T13*100</f>
        <v>10.402613774527312</v>
      </c>
      <c r="AA13" s="58">
        <f>AB13</f>
        <v>61708.08333333333</v>
      </c>
      <c r="AB13" s="58">
        <f t="shared" si="3"/>
        <v>61708.08333333333</v>
      </c>
      <c r="AC13" s="58">
        <v>25375.583333333325</v>
      </c>
      <c r="AD13" s="58">
        <v>36332.5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'Anne-8'!R15+'Anne-7'!Q15+'Anne-7'!T15+'Anne-6'!AC15</f>
        <v>1811513</v>
      </c>
      <c r="D14" s="60">
        <f>'Anne-8'!S15+'Anne-7'!R15+'Anne-7'!U15+'Anne-6'!AD15</f>
        <v>1742565</v>
      </c>
      <c r="E14" s="58">
        <f t="shared" si="5"/>
        <v>3554078</v>
      </c>
      <c r="F14" s="58"/>
      <c r="G14" s="58">
        <f>E14</f>
        <v>3554078</v>
      </c>
      <c r="H14" s="58">
        <f>'Anne-6'!G15+'Anne-8'!H15</f>
        <v>2358090</v>
      </c>
      <c r="I14" s="58">
        <f>'Anne-6'!S15+'Anne-7'!I15+'Anne-8'!I15</f>
        <v>2137502</v>
      </c>
      <c r="J14" s="58">
        <f>'Anne-6'!I15+'Anne-8'!M15</f>
        <v>4681335</v>
      </c>
      <c r="K14" s="58">
        <f>'Anne-7'!J15+'Anne-8'!J15</f>
        <v>2668311</v>
      </c>
      <c r="L14" s="58">
        <f>'Anne-6'!N15</f>
        <v>3882250</v>
      </c>
      <c r="M14" s="58">
        <f>'Anne-6'!K15</f>
        <v>11092</v>
      </c>
      <c r="N14" s="217">
        <f>'Anne-6'!X15</f>
        <v>0</v>
      </c>
      <c r="O14" s="58"/>
      <c r="P14" s="58">
        <f>'Anne-7'!L15+'Anne-8'!L15</f>
        <v>0</v>
      </c>
      <c r="Q14" s="58">
        <f>'Anne-4'!O14</f>
        <v>0</v>
      </c>
      <c r="R14" s="58">
        <f>'Anne-6'!W15</f>
        <v>1131142</v>
      </c>
      <c r="S14" s="58">
        <f t="shared" si="6"/>
        <v>16869722</v>
      </c>
      <c r="T14" s="58">
        <f t="shared" si="7"/>
        <v>20423800</v>
      </c>
      <c r="U14" s="152">
        <f t="shared" si="0"/>
        <v>19.57581182572987</v>
      </c>
      <c r="V14" s="152">
        <f t="shared" si="1"/>
        <v>10.101386896221904</v>
      </c>
      <c r="W14" s="152">
        <f t="shared" si="2"/>
        <v>13.409295876499346</v>
      </c>
      <c r="X14" s="152">
        <f>G14/(AA14*1000)*100</f>
        <v>13.409295876499346</v>
      </c>
      <c r="Y14" s="152">
        <f t="shared" si="8"/>
        <v>77.057615821163</v>
      </c>
      <c r="Z14" s="153">
        <f>G14/T14*100</f>
        <v>17.401649056492914</v>
      </c>
      <c r="AA14" s="58">
        <f>AB14</f>
        <v>26504.583333333336</v>
      </c>
      <c r="AB14" s="58">
        <f t="shared" si="3"/>
        <v>26504.583333333336</v>
      </c>
      <c r="AC14" s="58">
        <v>9253.833333333338</v>
      </c>
      <c r="AD14" s="58">
        <v>17250.75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447" customFormat="1" ht="14.25">
      <c r="A15" s="442">
        <v>8</v>
      </c>
      <c r="B15" s="443" t="s">
        <v>28</v>
      </c>
      <c r="C15" s="86">
        <f>'Anne-8'!R16+'Anne-7'!Q16+'Anne-7'!T16+'Anne-6'!AC16</f>
        <v>649120</v>
      </c>
      <c r="D15" s="86">
        <f>'Anne-8'!S16+'Anne-7'!R16+'Anne-7'!U16+'Anne-6'!AD16</f>
        <v>1142849</v>
      </c>
      <c r="E15" s="86">
        <f t="shared" si="5"/>
        <v>1791969</v>
      </c>
      <c r="F15" s="86"/>
      <c r="G15" s="86">
        <f>E15</f>
        <v>1791969</v>
      </c>
      <c r="H15" s="86">
        <f>'Anne-6'!G16+'Anne-8'!H16</f>
        <v>2090603</v>
      </c>
      <c r="I15" s="86">
        <f>'Anne-6'!S16+'Anne-7'!I16+'Anne-8'!I16</f>
        <v>1470539</v>
      </c>
      <c r="J15" s="58">
        <f>'Anne-6'!I16+'Anne-8'!M16</f>
        <v>534203</v>
      </c>
      <c r="K15" s="86">
        <f>'Anne-7'!J16+'Anne-8'!J16</f>
        <v>151902</v>
      </c>
      <c r="L15" s="86">
        <f>'Anne-6'!N16</f>
        <v>513452</v>
      </c>
      <c r="M15" s="86">
        <f>'Anne-6'!K16</f>
        <v>742881</v>
      </c>
      <c r="N15" s="444">
        <f>'Anne-6'!X16</f>
        <v>0</v>
      </c>
      <c r="O15" s="86"/>
      <c r="P15" s="86">
        <f>'Anne-7'!L16+'Anne-8'!L16</f>
        <v>0</v>
      </c>
      <c r="Q15" s="86">
        <f>'Anne-4'!O15</f>
        <v>0</v>
      </c>
      <c r="R15" s="86">
        <f>'Anne-6'!W16</f>
        <v>0</v>
      </c>
      <c r="S15" s="86">
        <f t="shared" si="6"/>
        <v>5503580</v>
      </c>
      <c r="T15" s="86">
        <f t="shared" si="7"/>
        <v>7295549</v>
      </c>
      <c r="U15" s="445">
        <f t="shared" si="0"/>
        <v>81.96822056192784</v>
      </c>
      <c r="V15" s="445">
        <f t="shared" si="1"/>
        <v>18.54948128711131</v>
      </c>
      <c r="W15" s="445">
        <f t="shared" si="2"/>
        <v>25.7726017546383</v>
      </c>
      <c r="X15" s="445">
        <f>G15/(AA15*1000)*100</f>
        <v>25.7726017546383</v>
      </c>
      <c r="Y15" s="445">
        <f t="shared" si="8"/>
        <v>104.92663598446718</v>
      </c>
      <c r="Z15" s="446">
        <f>G15/T15*100</f>
        <v>24.562496941628382</v>
      </c>
      <c r="AA15" s="86">
        <f>AB15</f>
        <v>6952.999999999997</v>
      </c>
      <c r="AB15" s="86">
        <f t="shared" si="3"/>
        <v>6952.999999999997</v>
      </c>
      <c r="AC15" s="86">
        <v>791.9166666666664</v>
      </c>
      <c r="AD15" s="86">
        <v>6161.083333333331</v>
      </c>
      <c r="AE15" s="86">
        <v>594880.8567659298</v>
      </c>
      <c r="AF15" s="86">
        <v>5482366.869364679</v>
      </c>
      <c r="AG15" s="86">
        <f t="shared" si="4"/>
        <v>6077247.7261306085</v>
      </c>
    </row>
    <row r="16" spans="1:33" ht="14.25">
      <c r="A16" s="5">
        <v>9</v>
      </c>
      <c r="B16" s="6" t="s">
        <v>29</v>
      </c>
      <c r="C16" s="60">
        <f>'Anne-8'!R17+'Anne-7'!Q17+'Anne-7'!T17+'Anne-6'!AC17</f>
        <v>1251879</v>
      </c>
      <c r="D16" s="60">
        <f>'Anne-8'!S17+'Anne-7'!R17+'Anne-7'!U17+'Anne-6'!AD17</f>
        <v>170296</v>
      </c>
      <c r="E16" s="58">
        <f t="shared" si="5"/>
        <v>1422175</v>
      </c>
      <c r="F16" s="58"/>
      <c r="G16" s="58">
        <f>E16</f>
        <v>1422175</v>
      </c>
      <c r="H16" s="58">
        <f>'Anne-6'!G17+'Anne-8'!H17</f>
        <v>2532977</v>
      </c>
      <c r="I16" s="58">
        <f>'Anne-6'!S17+'Anne-7'!I17+'Anne-8'!I17</f>
        <v>672626</v>
      </c>
      <c r="J16" s="58">
        <f>'Anne-6'!I17+'Anne-8'!M17</f>
        <v>687681</v>
      </c>
      <c r="K16" s="58">
        <f>'Anne-7'!J17+'Anne-8'!J17</f>
        <v>0</v>
      </c>
      <c r="L16" s="58">
        <f>'Anne-6'!N17</f>
        <v>267487</v>
      </c>
      <c r="M16" s="58">
        <f>'Anne-6'!K17</f>
        <v>2014339</v>
      </c>
      <c r="N16" s="217">
        <f>'Anne-6'!X17</f>
        <v>0</v>
      </c>
      <c r="O16" s="58"/>
      <c r="P16" s="58">
        <f>'Anne-7'!L17+'Anne-8'!L17</f>
        <v>0</v>
      </c>
      <c r="Q16" s="58">
        <f>'Anne-4'!O16</f>
        <v>0</v>
      </c>
      <c r="R16" s="58">
        <f>'Anne-6'!W17</f>
        <v>0</v>
      </c>
      <c r="S16" s="58">
        <f t="shared" si="6"/>
        <v>6175110</v>
      </c>
      <c r="T16" s="58">
        <f t="shared" si="7"/>
        <v>7597285</v>
      </c>
      <c r="U16" s="152">
        <f t="shared" si="0"/>
        <v>37.84017128463475</v>
      </c>
      <c r="V16" s="152">
        <f t="shared" si="1"/>
        <v>1.938596391371165</v>
      </c>
      <c r="W16" s="152">
        <f t="shared" si="2"/>
        <v>11.760477969045025</v>
      </c>
      <c r="X16" s="152">
        <f>G16/(AA16*1000)*100</f>
        <v>11.760477969045025</v>
      </c>
      <c r="Y16" s="152">
        <f t="shared" si="8"/>
        <v>62.82468955441928</v>
      </c>
      <c r="Z16" s="153">
        <f>G16/T16*100</f>
        <v>18.71951624823868</v>
      </c>
      <c r="AA16" s="58">
        <f>AB16</f>
        <v>12092.833333333334</v>
      </c>
      <c r="AB16" s="58">
        <f t="shared" si="3"/>
        <v>12092.833333333334</v>
      </c>
      <c r="AC16" s="58">
        <v>3308.3333333333344</v>
      </c>
      <c r="AD16" s="58">
        <v>8784.5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'Anne-8'!R18+'Anne-7'!Q18+'Anne-7'!T18+'Anne-6'!AC18</f>
        <v>1234810</v>
      </c>
      <c r="D17" s="60">
        <f>'Anne-8'!S18+'Anne-7'!R18+'Anne-7'!U18+'Anne-6'!AD18</f>
        <v>515511</v>
      </c>
      <c r="E17" s="58">
        <f t="shared" si="5"/>
        <v>1750321</v>
      </c>
      <c r="F17" s="58"/>
      <c r="G17" s="438" t="s">
        <v>206</v>
      </c>
      <c r="H17" s="438" t="s">
        <v>206</v>
      </c>
      <c r="I17" s="438" t="s">
        <v>206</v>
      </c>
      <c r="J17" s="438" t="s">
        <v>206</v>
      </c>
      <c r="K17" s="438" t="s">
        <v>206</v>
      </c>
      <c r="L17" s="438" t="s">
        <v>206</v>
      </c>
      <c r="M17" s="438" t="s">
        <v>206</v>
      </c>
      <c r="N17" s="438" t="s">
        <v>206</v>
      </c>
      <c r="O17" s="438" t="s">
        <v>206</v>
      </c>
      <c r="P17" s="438" t="s">
        <v>206</v>
      </c>
      <c r="Q17" s="438" t="s">
        <v>206</v>
      </c>
      <c r="R17" s="438" t="s">
        <v>206</v>
      </c>
      <c r="S17" s="438" t="s">
        <v>206</v>
      </c>
      <c r="T17" s="438" t="s">
        <v>206</v>
      </c>
      <c r="U17" s="152">
        <f t="shared" si="0"/>
        <v>16.337209967425903</v>
      </c>
      <c r="V17" s="152">
        <f t="shared" si="1"/>
        <v>2.060862508670094</v>
      </c>
      <c r="W17" s="152">
        <f t="shared" si="2"/>
        <v>5.373599316809042</v>
      </c>
      <c r="X17" s="152"/>
      <c r="Y17" s="152"/>
      <c r="Z17" s="153"/>
      <c r="AA17" s="58"/>
      <c r="AB17" s="58">
        <f t="shared" si="3"/>
        <v>32572.59979404974</v>
      </c>
      <c r="AC17" s="58">
        <v>7558.267307955503</v>
      </c>
      <c r="AD17" s="58">
        <v>25014.332486094238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'Anne-8'!R19+'Anne-7'!Q19+'Anne-7'!T19+'Anne-6'!AC19</f>
        <v>6785528</v>
      </c>
      <c r="D18" s="60">
        <f>'Anne-8'!S19+'Anne-7'!R19+'Anne-7'!U19+'Anne-6'!AD19</f>
        <v>1929638</v>
      </c>
      <c r="E18" s="58">
        <f t="shared" si="5"/>
        <v>8715166</v>
      </c>
      <c r="F18" s="58"/>
      <c r="G18" s="58">
        <f>E18</f>
        <v>8715166</v>
      </c>
      <c r="H18" s="58">
        <f>'Anne-6'!G19+'Anne-8'!H19</f>
        <v>17052597</v>
      </c>
      <c r="I18" s="58">
        <f>'Anne-6'!S19+'Anne-7'!I19+'Anne-8'!I19</f>
        <v>6396451</v>
      </c>
      <c r="J18" s="58">
        <f>'Anne-6'!I19+'Anne-8'!M19</f>
        <v>6925192</v>
      </c>
      <c r="K18" s="58">
        <f>'Anne-7'!J19+'Anne-8'!J19</f>
        <v>5997117</v>
      </c>
      <c r="L18" s="58">
        <f>'Anne-6'!N19</f>
        <v>6586224</v>
      </c>
      <c r="M18" s="58">
        <f>'Anne-6'!K19</f>
        <v>2201043</v>
      </c>
      <c r="N18" s="217">
        <f>'Anne-6'!X19</f>
        <v>0</v>
      </c>
      <c r="O18" s="58"/>
      <c r="P18" s="58">
        <f>'Anne-7'!L19+'Anne-8'!L19</f>
        <v>1924172</v>
      </c>
      <c r="Q18" s="58">
        <f>'Anne-4'!O18</f>
        <v>0</v>
      </c>
      <c r="R18" s="58">
        <f>'Anne-6'!W19</f>
        <v>0</v>
      </c>
      <c r="S18" s="58">
        <f t="shared" si="6"/>
        <v>47082796</v>
      </c>
      <c r="T18" s="58">
        <f t="shared" si="7"/>
        <v>55797962</v>
      </c>
      <c r="U18" s="152">
        <f t="shared" si="0"/>
        <v>29.574302649930267</v>
      </c>
      <c r="V18" s="152">
        <f t="shared" si="1"/>
        <v>5.074767362861341</v>
      </c>
      <c r="W18" s="152">
        <f t="shared" si="2"/>
        <v>14.294617136265103</v>
      </c>
      <c r="X18" s="152">
        <f>G18/(AA18*1000)*100</f>
        <v>14.294617136265103</v>
      </c>
      <c r="Y18" s="152">
        <f t="shared" si="8"/>
        <v>91.51982920048444</v>
      </c>
      <c r="Z18" s="153">
        <f>G18/T18*100</f>
        <v>15.619147523703464</v>
      </c>
      <c r="AA18" s="58">
        <f>AB18</f>
        <v>60968.16666666665</v>
      </c>
      <c r="AB18" s="58">
        <f t="shared" si="3"/>
        <v>60968.16666666665</v>
      </c>
      <c r="AC18" s="58">
        <v>22944</v>
      </c>
      <c r="AD18" s="58">
        <v>38024.16666666665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'Anne-8'!R20+'Anne-7'!Q20+'Anne-7'!T20+'Anne-6'!AC20</f>
        <v>5567865</v>
      </c>
      <c r="D19" s="60">
        <f>'Anne-8'!S20+'Anne-7'!R20+'Anne-7'!U20+'Anne-6'!AD20</f>
        <v>5320589</v>
      </c>
      <c r="E19" s="58">
        <f t="shared" si="5"/>
        <v>10888454</v>
      </c>
      <c r="F19" s="58"/>
      <c r="G19" s="58">
        <f>E19</f>
        <v>10888454</v>
      </c>
      <c r="H19" s="58">
        <f>'Anne-6'!G20+'Anne-8'!H20</f>
        <v>3649056</v>
      </c>
      <c r="I19" s="58">
        <f>'Anne-6'!S20+'Anne-7'!I20+'Anne-8'!I20</f>
        <v>2384229</v>
      </c>
      <c r="J19" s="58">
        <f>'Anne-6'!I20+'Anne-8'!M20</f>
        <v>6489482</v>
      </c>
      <c r="K19" s="58">
        <f>'Anne-7'!J20+'Anne-8'!J20</f>
        <v>1665878</v>
      </c>
      <c r="L19" s="58">
        <f>'Anne-6'!N20</f>
        <v>8466741</v>
      </c>
      <c r="M19" s="58">
        <f>'Anne-6'!K20</f>
        <v>4883</v>
      </c>
      <c r="N19" s="217">
        <f>'Anne-6'!X20</f>
        <v>0</v>
      </c>
      <c r="O19" s="58"/>
      <c r="P19" s="58">
        <f>'Anne-7'!L20+'Anne-8'!L20</f>
        <v>436353</v>
      </c>
      <c r="Q19" s="58">
        <f>'Anne-4'!O19</f>
        <v>0</v>
      </c>
      <c r="R19" s="58">
        <f>'Anne-6'!W20</f>
        <v>0</v>
      </c>
      <c r="S19" s="58">
        <f t="shared" si="6"/>
        <v>23096622</v>
      </c>
      <c r="T19" s="58">
        <f t="shared" si="7"/>
        <v>33985076</v>
      </c>
      <c r="U19" s="152">
        <f t="shared" si="0"/>
        <v>62.27340342243597</v>
      </c>
      <c r="V19" s="152">
        <f t="shared" si="1"/>
        <v>20.229414951760848</v>
      </c>
      <c r="W19" s="152">
        <f t="shared" si="2"/>
        <v>30.89602394852769</v>
      </c>
      <c r="X19" s="152">
        <f>G19/(AA19*1000)*100</f>
        <v>30.89602394852769</v>
      </c>
      <c r="Y19" s="152">
        <f t="shared" si="8"/>
        <v>96.43276465038413</v>
      </c>
      <c r="Z19" s="153">
        <f>G19/T19*100</f>
        <v>32.038927910592285</v>
      </c>
      <c r="AA19" s="58">
        <f>AB19</f>
        <v>35242.25</v>
      </c>
      <c r="AB19" s="58">
        <f t="shared" si="3"/>
        <v>35242.25</v>
      </c>
      <c r="AC19" s="58">
        <v>8941</v>
      </c>
      <c r="AD19" s="58">
        <v>26301.25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'Anne-8'!R21+'Anne-7'!Q21+'Anne-7'!T21+'Anne-6'!AC21</f>
        <v>2728918</v>
      </c>
      <c r="D20" s="60">
        <f>'Anne-8'!S21+'Anne-7'!R21+'Anne-7'!U21+'Anne-6'!AD21</f>
        <v>1340030</v>
      </c>
      <c r="E20" s="58">
        <f t="shared" si="5"/>
        <v>4068948</v>
      </c>
      <c r="F20" s="58"/>
      <c r="G20" s="58">
        <f>E20+E12</f>
        <v>5979787</v>
      </c>
      <c r="H20" s="58">
        <f>'Anne-6'!G21+'Anne-8'!H21</f>
        <v>10441158</v>
      </c>
      <c r="I20" s="58">
        <f>'Anne-6'!S21+'Anne-7'!I21+'Anne-8'!I21</f>
        <v>20812548</v>
      </c>
      <c r="J20" s="58">
        <f>'Anne-6'!I21+'Anne-8'!M21</f>
        <v>4256729</v>
      </c>
      <c r="K20" s="58">
        <f>'Anne-7'!J21+'Anne-8'!J21</f>
        <v>3946665</v>
      </c>
      <c r="L20" s="58">
        <f>'Anne-6'!N21</f>
        <v>16295647</v>
      </c>
      <c r="M20" s="58">
        <f>'Anne-6'!K21</f>
        <v>22694</v>
      </c>
      <c r="N20" s="217">
        <f>'Anne-6'!X21</f>
        <v>0</v>
      </c>
      <c r="O20" s="58"/>
      <c r="P20" s="58">
        <f>'Anne-7'!L21+'Anne-8'!L21</f>
        <v>0</v>
      </c>
      <c r="Q20" s="58">
        <f>'Anne-4'!O20</f>
        <v>0</v>
      </c>
      <c r="R20" s="58">
        <f>'Anne-6'!W21</f>
        <v>1125094</v>
      </c>
      <c r="S20" s="58">
        <f t="shared" si="6"/>
        <v>56900535</v>
      </c>
      <c r="T20" s="58">
        <f t="shared" si="7"/>
        <v>62880322</v>
      </c>
      <c r="U20" s="152">
        <f t="shared" si="0"/>
        <v>12.880776005351976</v>
      </c>
      <c r="V20" s="152">
        <f t="shared" si="1"/>
        <v>2.4911914569306144</v>
      </c>
      <c r="W20" s="152">
        <f t="shared" si="2"/>
        <v>5.4269498062181185</v>
      </c>
      <c r="X20" s="152">
        <f>G20/(AA20*1000)*100</f>
        <v>5.965484750311128</v>
      </c>
      <c r="Y20" s="152">
        <f t="shared" si="8"/>
        <v>62.72992700001745</v>
      </c>
      <c r="Z20" s="153">
        <f>G20/T20*100</f>
        <v>9.509790678234758</v>
      </c>
      <c r="AA20" s="58">
        <f>AB20+AB12</f>
        <v>100239.75000000001</v>
      </c>
      <c r="AB20" s="58">
        <f t="shared" si="3"/>
        <v>74976.70229670928</v>
      </c>
      <c r="AC20" s="58">
        <v>21185.975121888085</v>
      </c>
      <c r="AD20" s="58">
        <v>53790.72717482119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'Anne-8'!R22+'Anne-7'!Q22+'Anne-7'!T22+'Anne-6'!AC22</f>
        <v>5563828</v>
      </c>
      <c r="D21" s="60">
        <f>'Anne-8'!S22+'Anne-7'!R22+'Anne-7'!U22+'Anne-6'!AD22</f>
        <v>2991302</v>
      </c>
      <c r="E21" s="58">
        <f>C21+D21</f>
        <v>8555130</v>
      </c>
      <c r="F21" s="58"/>
      <c r="G21" s="58">
        <f>E21</f>
        <v>8555130</v>
      </c>
      <c r="H21" s="58">
        <f>'Anne-6'!G22+'Anne-8'!H22</f>
        <v>10295129</v>
      </c>
      <c r="I21" s="58">
        <f>'Anne-6'!S22+'Anne-7'!I22+'Anne-8'!I22</f>
        <v>7289322</v>
      </c>
      <c r="J21" s="58">
        <f>'Anne-6'!I22+'Anne-8'!M22</f>
        <v>14079683</v>
      </c>
      <c r="K21" s="58">
        <f>'Anne-7'!J22+'Anne-8'!J22</f>
        <v>6322078</v>
      </c>
      <c r="L21" s="58">
        <f>'Anne-6'!N22</f>
        <v>17421267</v>
      </c>
      <c r="M21" s="58">
        <f>'Anne-6'!K22</f>
        <v>1312246</v>
      </c>
      <c r="N21" s="217">
        <f>'Anne-6'!X22</f>
        <v>0</v>
      </c>
      <c r="O21" s="58"/>
      <c r="P21" s="58">
        <f>'Anne-7'!L22+'Anne-8'!L22</f>
        <v>0</v>
      </c>
      <c r="Q21" s="58">
        <f>'Anne-4'!O21</f>
        <v>5770597</v>
      </c>
      <c r="R21" s="58">
        <f>'Anne-6'!W22</f>
        <v>0</v>
      </c>
      <c r="S21" s="58">
        <f t="shared" si="6"/>
        <v>62490322</v>
      </c>
      <c r="T21" s="58">
        <f t="shared" si="7"/>
        <v>71045452</v>
      </c>
      <c r="U21" s="152">
        <f t="shared" si="0"/>
        <v>16.521581395638258</v>
      </c>
      <c r="V21" s="152">
        <f t="shared" si="1"/>
        <v>4.752341574818787</v>
      </c>
      <c r="W21" s="152">
        <f t="shared" si="2"/>
        <v>8.854420703667614</v>
      </c>
      <c r="X21" s="152">
        <f>G21/(AA21*1000)*100</f>
        <v>8.854420703667614</v>
      </c>
      <c r="Y21" s="152">
        <f t="shared" si="8"/>
        <v>73.53088978077758</v>
      </c>
      <c r="Z21" s="153">
        <f>G21/T21*100</f>
        <v>12.041770105143394</v>
      </c>
      <c r="AA21" s="58">
        <f>AB21</f>
        <v>96619.8725621469</v>
      </c>
      <c r="AB21" s="58">
        <f t="shared" si="3"/>
        <v>96619.8725621469</v>
      </c>
      <c r="AC21" s="58">
        <v>33676.122562146906</v>
      </c>
      <c r="AD21" s="58">
        <v>62943.75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'Anne-8'!R23+'Anne-7'!Q23+'Anne-7'!T23+'Anne-6'!AC23</f>
        <v>720280</v>
      </c>
      <c r="D22" s="60">
        <f>'Anne-8'!S23+'Anne-7'!R23+'Anne-7'!U23+'Anne-6'!AD23</f>
        <v>366566</v>
      </c>
      <c r="E22" s="58">
        <f t="shared" si="5"/>
        <v>1086846</v>
      </c>
      <c r="F22" s="58"/>
      <c r="G22" s="58">
        <f>E22+E23</f>
        <v>1952446</v>
      </c>
      <c r="H22" s="58">
        <f>'Anne-6'!G23+'Anne-8'!H23</f>
        <v>2852276</v>
      </c>
      <c r="I22" s="58">
        <f>'Anne-6'!S23+'Anne-7'!I23+'Anne-8'!I23</f>
        <v>992057</v>
      </c>
      <c r="J22" s="58">
        <f>'Anne-6'!I23+'Anne-8'!M23</f>
        <v>1045692</v>
      </c>
      <c r="K22" s="58">
        <f>'Anne-7'!J23+'Anne-8'!J23</f>
        <v>0</v>
      </c>
      <c r="L22" s="58">
        <f>'Anne-6'!N23</f>
        <v>328482</v>
      </c>
      <c r="M22" s="58">
        <f>'Anne-6'!K23</f>
        <v>2352414</v>
      </c>
      <c r="N22" s="217">
        <f>'Anne-6'!X23</f>
        <v>0</v>
      </c>
      <c r="O22" s="58"/>
      <c r="P22" s="58">
        <f>'Anne-7'!L23+'Anne-8'!L23</f>
        <v>0</v>
      </c>
      <c r="Q22" s="58">
        <f>'Anne-4'!O22</f>
        <v>0</v>
      </c>
      <c r="R22" s="58">
        <f>'Anne-6'!W23</f>
        <v>0</v>
      </c>
      <c r="S22" s="58">
        <f t="shared" si="6"/>
        <v>7570921</v>
      </c>
      <c r="T22" s="58">
        <f t="shared" si="7"/>
        <v>9523367</v>
      </c>
      <c r="U22" s="152">
        <f t="shared" si="0"/>
        <v>38.768353969351104</v>
      </c>
      <c r="V22" s="152">
        <f t="shared" si="1"/>
        <v>6.544914639301578</v>
      </c>
      <c r="W22" s="152">
        <f t="shared" si="2"/>
        <v>14.571553776318972</v>
      </c>
      <c r="X22" s="152">
        <f>G22/(AA22*1000)*100</f>
        <v>14.382571009386075</v>
      </c>
      <c r="Y22" s="152">
        <f t="shared" si="8"/>
        <v>70.15328573796357</v>
      </c>
      <c r="Z22" s="153">
        <f>G22/T22*100</f>
        <v>20.50163560849855</v>
      </c>
      <c r="AA22" s="58">
        <f>AB22+AB23</f>
        <v>13575.083333333328</v>
      </c>
      <c r="AB22" s="58">
        <f t="shared" si="3"/>
        <v>7458.68297014621</v>
      </c>
      <c r="AC22" s="58">
        <v>1857.907097550306</v>
      </c>
      <c r="AD22" s="58">
        <v>5600.775872595904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'Anne-8'!R24+'Anne-7'!Q24+'Anne-7'!T24+'Anne-6'!AC24</f>
        <v>538231</v>
      </c>
      <c r="D23" s="60">
        <f>'Anne-8'!S24+'Anne-7'!R24+'Anne-7'!U24+'Anne-6'!AD24</f>
        <v>327369</v>
      </c>
      <c r="E23" s="58">
        <f t="shared" si="5"/>
        <v>865600</v>
      </c>
      <c r="F23" s="58"/>
      <c r="G23" s="438" t="s">
        <v>206</v>
      </c>
      <c r="H23" s="438" t="s">
        <v>206</v>
      </c>
      <c r="I23" s="438" t="s">
        <v>206</v>
      </c>
      <c r="J23" s="438" t="s">
        <v>206</v>
      </c>
      <c r="K23" s="438" t="s">
        <v>206</v>
      </c>
      <c r="L23" s="438" t="s">
        <v>206</v>
      </c>
      <c r="M23" s="438" t="s">
        <v>206</v>
      </c>
      <c r="N23" s="438" t="s">
        <v>206</v>
      </c>
      <c r="O23" s="438" t="s">
        <v>206</v>
      </c>
      <c r="P23" s="438" t="s">
        <v>206</v>
      </c>
      <c r="Q23" s="438" t="s">
        <v>206</v>
      </c>
      <c r="R23" s="438" t="s">
        <v>206</v>
      </c>
      <c r="S23" s="438" t="s">
        <v>206</v>
      </c>
      <c r="T23" s="438" t="s">
        <v>206</v>
      </c>
      <c r="U23" s="152">
        <f t="shared" si="0"/>
        <v>36.24427823184125</v>
      </c>
      <c r="V23" s="152">
        <f t="shared" si="1"/>
        <v>7.068481468225642</v>
      </c>
      <c r="W23" s="152">
        <f t="shared" si="2"/>
        <v>14.152114783227754</v>
      </c>
      <c r="X23" s="152"/>
      <c r="Y23" s="152"/>
      <c r="Z23" s="153"/>
      <c r="AA23" s="58"/>
      <c r="AB23" s="58">
        <f t="shared" si="3"/>
        <v>6116.400363187117</v>
      </c>
      <c r="AC23" s="58">
        <v>1485.009569116359</v>
      </c>
      <c r="AD23" s="58">
        <v>4631.390794070759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'Anne-8'!R25+'Anne-7'!Q25+'Anne-7'!T25+'Anne-6'!AC25</f>
        <v>2928079</v>
      </c>
      <c r="D24" s="60">
        <f>'Anne-8'!S25+'Anne-7'!R25+'Anne-7'!U25+'Anne-6'!AD25</f>
        <v>1949101</v>
      </c>
      <c r="E24" s="58">
        <f t="shared" si="5"/>
        <v>4877180</v>
      </c>
      <c r="F24" s="58"/>
      <c r="G24" s="58">
        <f>E24</f>
        <v>4877180</v>
      </c>
      <c r="H24" s="58">
        <f>'Anne-6'!G25+'Anne-8'!H25</f>
        <v>7289389</v>
      </c>
      <c r="I24" s="58">
        <f>'Anne-6'!S25+'Anne-7'!I25+'Anne-8'!I25</f>
        <v>4138230</v>
      </c>
      <c r="J24" s="58">
        <f>'Anne-6'!I25+'Anne-8'!M25</f>
        <v>3169182</v>
      </c>
      <c r="K24" s="58">
        <f>'Anne-7'!J25+'Anne-8'!J25</f>
        <v>2049947</v>
      </c>
      <c r="L24" s="58">
        <f>'Anne-6'!N25</f>
        <v>1063004</v>
      </c>
      <c r="M24" s="58">
        <f>'Anne-6'!K25</f>
        <v>2908410</v>
      </c>
      <c r="N24" s="217">
        <f>'Anne-6'!X25</f>
        <v>0</v>
      </c>
      <c r="O24" s="58"/>
      <c r="P24" s="58">
        <f>'Anne-7'!L25+'Anne-8'!L25</f>
        <v>0</v>
      </c>
      <c r="Q24" s="58">
        <f>'Anne-4'!O24</f>
        <v>0</v>
      </c>
      <c r="R24" s="58">
        <f>'Anne-6'!W25</f>
        <v>0</v>
      </c>
      <c r="S24" s="58">
        <f t="shared" si="6"/>
        <v>20618162</v>
      </c>
      <c r="T24" s="58">
        <f t="shared" si="7"/>
        <v>25495342</v>
      </c>
      <c r="U24" s="152">
        <f t="shared" si="0"/>
        <v>40.74982951777886</v>
      </c>
      <c r="V24" s="152">
        <f t="shared" si="1"/>
        <v>5.654785816864839</v>
      </c>
      <c r="W24" s="152">
        <f t="shared" si="2"/>
        <v>11.708885172173723</v>
      </c>
      <c r="X24" s="152">
        <f>G24/(AA24*1000)*100</f>
        <v>11.708885172173723</v>
      </c>
      <c r="Y24" s="152">
        <f t="shared" si="8"/>
        <v>61.20791767031316</v>
      </c>
      <c r="Z24" s="153">
        <f>G24/T24*100</f>
        <v>19.12969043521754</v>
      </c>
      <c r="AA24" s="58">
        <f>AB24</f>
        <v>41653.66666666665</v>
      </c>
      <c r="AB24" s="58">
        <f t="shared" si="3"/>
        <v>41653.66666666665</v>
      </c>
      <c r="AC24" s="58">
        <v>7185.5</v>
      </c>
      <c r="AD24" s="58">
        <v>34468.16666666665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'Anne-8'!R26+'Anne-7'!Q26+'Anne-7'!T26+'Anne-6'!AC26</f>
        <v>3306006</v>
      </c>
      <c r="D25" s="60">
        <f>'Anne-8'!S26+'Anne-7'!R26+'Anne-7'!U26+'Anne-6'!AD26</f>
        <v>2125141</v>
      </c>
      <c r="E25" s="58">
        <f t="shared" si="5"/>
        <v>5431147</v>
      </c>
      <c r="F25" s="58"/>
      <c r="G25" s="58">
        <f>E25</f>
        <v>5431147</v>
      </c>
      <c r="H25" s="58">
        <f>'Anne-6'!G26+'Anne-8'!H26</f>
        <v>7204125</v>
      </c>
      <c r="I25" s="58">
        <f>'Anne-6'!S26+'Anne-7'!I26+'Anne-8'!I26</f>
        <v>3095301</v>
      </c>
      <c r="J25" s="58">
        <f>'Anne-6'!I26+'Anne-8'!M26</f>
        <v>4503635</v>
      </c>
      <c r="K25" s="58">
        <f>'Anne-7'!J26+'Anne-8'!J26</f>
        <v>2466191</v>
      </c>
      <c r="L25" s="58">
        <f>'Anne-6'!N26</f>
        <v>5845234</v>
      </c>
      <c r="M25" s="58">
        <f>'Anne-6'!K26</f>
        <v>1002025</v>
      </c>
      <c r="N25" s="217">
        <f>'Anne-6'!X26</f>
        <v>0</v>
      </c>
      <c r="O25" s="58">
        <f>'Anne-7'!K26+'Anne-8'!K26</f>
        <v>1929657</v>
      </c>
      <c r="P25" s="58">
        <f>'Anne-7'!L26+'Anne-8'!L26</f>
        <v>0</v>
      </c>
      <c r="Q25" s="58">
        <f>'Anne-4'!O25</f>
        <v>0</v>
      </c>
      <c r="R25" s="58">
        <f>'Anne-6'!W26</f>
        <v>0</v>
      </c>
      <c r="S25" s="58">
        <f t="shared" si="6"/>
        <v>26046168</v>
      </c>
      <c r="T25" s="58">
        <f t="shared" si="7"/>
        <v>31477315</v>
      </c>
      <c r="U25" s="152">
        <f t="shared" si="0"/>
        <v>26.229815931450336</v>
      </c>
      <c r="V25" s="152">
        <f t="shared" si="1"/>
        <v>12.167998854852561</v>
      </c>
      <c r="W25" s="152">
        <f t="shared" si="2"/>
        <v>18.06228008912834</v>
      </c>
      <c r="X25" s="152">
        <f>G25/(AA25*1000)*100</f>
        <v>18.06228008912834</v>
      </c>
      <c r="Y25" s="152">
        <f t="shared" si="8"/>
        <v>104.68361102796902</v>
      </c>
      <c r="Z25" s="153">
        <f>G25/T25*100</f>
        <v>17.254162243507746</v>
      </c>
      <c r="AA25" s="58">
        <f>AB25</f>
        <v>30069</v>
      </c>
      <c r="AB25" s="58">
        <f t="shared" si="3"/>
        <v>30069</v>
      </c>
      <c r="AC25" s="58">
        <v>12604</v>
      </c>
      <c r="AD25" s="58">
        <v>17465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'Anne-8'!R27+'Anne-7'!Q27+'Anne-7'!T27+'Anne-6'!AC27</f>
        <v>4586652</v>
      </c>
      <c r="D26" s="60">
        <f>'Anne-8'!S27+'Anne-7'!R27+'Anne-7'!U27+'Anne-6'!AD27</f>
        <v>2157743</v>
      </c>
      <c r="E26" s="58">
        <f t="shared" si="5"/>
        <v>6744395</v>
      </c>
      <c r="F26" s="58"/>
      <c r="G26" s="58">
        <f>E26</f>
        <v>6744395</v>
      </c>
      <c r="H26" s="58">
        <f>'Anne-6'!G27+'Anne-8'!H27</f>
        <v>14873207</v>
      </c>
      <c r="I26" s="58">
        <f>'Anne-6'!S27+'Anne-7'!I27+'Anne-8'!I27</f>
        <v>5921599</v>
      </c>
      <c r="J26" s="58">
        <f>'Anne-6'!I27+'Anne-8'!M27</f>
        <v>9273395</v>
      </c>
      <c r="K26" s="58">
        <f>'Anne-7'!J27+'Anne-8'!J27</f>
        <v>2431811</v>
      </c>
      <c r="L26" s="58">
        <f>'Anne-6'!N27</f>
        <v>5660460</v>
      </c>
      <c r="M26" s="58">
        <f>'Anne-6'!K27</f>
        <v>3566660</v>
      </c>
      <c r="N26" s="217">
        <f>'Anne-6'!X27</f>
        <v>0</v>
      </c>
      <c r="O26" s="58"/>
      <c r="P26" s="58">
        <f>'Anne-7'!L27+'Anne-8'!L27</f>
        <v>2232478</v>
      </c>
      <c r="Q26" s="58">
        <f>'Anne-4'!O26</f>
        <v>0</v>
      </c>
      <c r="R26" s="58">
        <f>'Anne-6'!W27</f>
        <v>0</v>
      </c>
      <c r="S26" s="58">
        <f t="shared" si="6"/>
        <v>43959610</v>
      </c>
      <c r="T26" s="58">
        <f t="shared" si="7"/>
        <v>50704005</v>
      </c>
      <c r="U26" s="152">
        <f t="shared" si="0"/>
        <v>27.046729467958073</v>
      </c>
      <c r="V26" s="152">
        <f t="shared" si="1"/>
        <v>4.026992273524691</v>
      </c>
      <c r="W26" s="152">
        <f t="shared" si="2"/>
        <v>9.561059111641935</v>
      </c>
      <c r="X26" s="152">
        <f>G26/(AA26*1000)*100</f>
        <v>9.561059111641935</v>
      </c>
      <c r="Y26" s="152">
        <f t="shared" si="8"/>
        <v>71.8795368601614</v>
      </c>
      <c r="Z26" s="153">
        <f>G26/T26*100</f>
        <v>13.30150350056174</v>
      </c>
      <c r="AA26" s="58">
        <f>AB26</f>
        <v>70540.25</v>
      </c>
      <c r="AB26" s="58">
        <f t="shared" si="3"/>
        <v>70540.25</v>
      </c>
      <c r="AC26" s="58">
        <v>16958.25</v>
      </c>
      <c r="AD26" s="58">
        <v>53582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'Anne-8'!R28+'Anne-7'!Q28+'Anne-7'!T28+'Anne-6'!AC28</f>
        <v>8144939</v>
      </c>
      <c r="D27" s="60">
        <f>'Anne-8'!S28+'Anne-7'!R28+'Anne-7'!U28+'Anne-6'!AD28</f>
        <v>1464987</v>
      </c>
      <c r="E27" s="58">
        <f t="shared" si="5"/>
        <v>9609926</v>
      </c>
      <c r="F27" s="58"/>
      <c r="G27" s="58">
        <f>E27</f>
        <v>9609926</v>
      </c>
      <c r="H27" s="58">
        <f>'Anne-6'!G28+'Anne-8'!H28</f>
        <v>10239056</v>
      </c>
      <c r="I27" s="58">
        <f>'Anne-6'!S28+'Anne-7'!I28+'Anne-8'!I28</f>
        <v>5446968</v>
      </c>
      <c r="J27" s="58">
        <f>'Anne-6'!I28+'Anne-8'!M28</f>
        <v>10508224</v>
      </c>
      <c r="K27" s="58">
        <f>'Anne-7'!J28+'Anne-8'!J28</f>
        <v>3858513</v>
      </c>
      <c r="L27" s="58">
        <f>'Anne-6'!N28</f>
        <v>2486098</v>
      </c>
      <c r="M27" s="58">
        <f>'Anne-6'!K28</f>
        <v>17859190</v>
      </c>
      <c r="N27" s="217">
        <f>'Anne-6'!X28</f>
        <v>0</v>
      </c>
      <c r="O27" s="58"/>
      <c r="P27" s="58">
        <f>'Anne-7'!L28+'Anne-8'!L28</f>
        <v>1085246</v>
      </c>
      <c r="Q27" s="58">
        <f>'Anne-4'!O27</f>
        <v>0</v>
      </c>
      <c r="R27" s="58">
        <f>'Anne-6'!W28</f>
        <v>0</v>
      </c>
      <c r="S27" s="58">
        <f t="shared" si="6"/>
        <v>51483295</v>
      </c>
      <c r="T27" s="58">
        <f t="shared" si="7"/>
        <v>61093221</v>
      </c>
      <c r="U27" s="152">
        <f t="shared" si="0"/>
        <v>28.644803361838434</v>
      </c>
      <c r="V27" s="152">
        <f t="shared" si="1"/>
        <v>4.814456643488786</v>
      </c>
      <c r="W27" s="152">
        <f t="shared" si="2"/>
        <v>16.325869409308684</v>
      </c>
      <c r="X27" s="152">
        <f>G27/(AA27*1000)*100</f>
        <v>16.325869409308684</v>
      </c>
      <c r="Y27" s="152">
        <f t="shared" si="8"/>
        <v>103.78851490011836</v>
      </c>
      <c r="Z27" s="153">
        <f>G27/T27*100</f>
        <v>15.729938351097909</v>
      </c>
      <c r="AA27" s="58">
        <f>AB27</f>
        <v>58863.18063110694</v>
      </c>
      <c r="AB27" s="58">
        <f t="shared" si="3"/>
        <v>58863.18063110694</v>
      </c>
      <c r="AC27" s="58">
        <v>28434.263964440266</v>
      </c>
      <c r="AD27" s="58">
        <v>30428.916666666675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'Anne-8'!R29+'Anne-7'!Q29+'Anne-7'!T29+'Anne-6'!AC29</f>
        <v>803858</v>
      </c>
      <c r="D28" s="60">
        <f>'Anne-8'!S29+'Anne-7'!R29+'Anne-7'!U29+'Anne-6'!AD29</f>
        <v>584500</v>
      </c>
      <c r="E28" s="58">
        <f t="shared" si="5"/>
        <v>1388358</v>
      </c>
      <c r="F28" s="58"/>
      <c r="G28" s="438" t="s">
        <v>206</v>
      </c>
      <c r="H28" s="438" t="s">
        <v>206</v>
      </c>
      <c r="I28" s="438" t="s">
        <v>206</v>
      </c>
      <c r="J28" s="438" t="s">
        <v>206</v>
      </c>
      <c r="K28" s="438" t="s">
        <v>206</v>
      </c>
      <c r="L28" s="438" t="s">
        <v>206</v>
      </c>
      <c r="M28" s="438" t="s">
        <v>206</v>
      </c>
      <c r="N28" s="438" t="s">
        <v>206</v>
      </c>
      <c r="O28" s="438" t="s">
        <v>206</v>
      </c>
      <c r="P28" s="438" t="s">
        <v>206</v>
      </c>
      <c r="Q28" s="438" t="s">
        <v>206</v>
      </c>
      <c r="R28" s="438" t="s">
        <v>206</v>
      </c>
      <c r="S28" s="438" t="s">
        <v>206</v>
      </c>
      <c r="T28" s="438" t="s">
        <v>206</v>
      </c>
      <c r="U28" s="152">
        <f t="shared" si="0"/>
        <v>26.990557330452415</v>
      </c>
      <c r="V28" s="152">
        <f t="shared" si="1"/>
        <v>7.805937895147089</v>
      </c>
      <c r="W28" s="152">
        <f t="shared" si="2"/>
        <v>13.265179999363072</v>
      </c>
      <c r="X28" s="152"/>
      <c r="Y28" s="152"/>
      <c r="Z28" s="153"/>
      <c r="AA28" s="58"/>
      <c r="AB28" s="58">
        <f t="shared" si="3"/>
        <v>10466.18289436451</v>
      </c>
      <c r="AC28" s="58">
        <v>2978.2934459565154</v>
      </c>
      <c r="AD28" s="58">
        <v>7487.889448407995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'Anne-8'!R30+'Anne-7'!Q30+'Anne-7'!T30+'Anne-6'!AC30</f>
        <v>7713106</v>
      </c>
      <c r="D29" s="60">
        <f>'Anne-8'!S30+'Anne-7'!R30+'Anne-7'!U30+'Anne-6'!AD30</f>
        <v>3258521</v>
      </c>
      <c r="E29" s="58">
        <f t="shared" si="5"/>
        <v>10971627</v>
      </c>
      <c r="F29" s="58"/>
      <c r="G29" s="58">
        <f>E29</f>
        <v>10971627</v>
      </c>
      <c r="H29" s="58">
        <f>'Anne-6'!G30+'Anne-8'!H30</f>
        <v>15484343</v>
      </c>
      <c r="I29" s="58">
        <f>'Anne-6'!S30+'Anne-7'!I30+'Anne-8'!I30</f>
        <v>8576572</v>
      </c>
      <c r="J29" s="58">
        <f>'Anne-6'!I30+'Anne-8'!M30</f>
        <v>14400551</v>
      </c>
      <c r="K29" s="58">
        <f>'Anne-7'!J30+'Anne-8'!J30</f>
        <v>4286276</v>
      </c>
      <c r="L29" s="58">
        <f>'Anne-6'!N30</f>
        <v>7594778</v>
      </c>
      <c r="M29" s="58">
        <f>'Anne-6'!K30</f>
        <v>4767195</v>
      </c>
      <c r="N29" s="217">
        <f>'Anne-6'!X30</f>
        <v>0</v>
      </c>
      <c r="O29" s="58"/>
      <c r="P29" s="58">
        <f>'Anne-7'!L30+'Anne-8'!L30</f>
        <v>0</v>
      </c>
      <c r="Q29" s="58">
        <f>'Anne-4'!O29</f>
        <v>7541316</v>
      </c>
      <c r="R29" s="58">
        <f>'Anne-6'!W30</f>
        <v>0</v>
      </c>
      <c r="S29" s="58">
        <f t="shared" si="6"/>
        <v>62651031</v>
      </c>
      <c r="T29" s="58">
        <f t="shared" si="7"/>
        <v>73622658</v>
      </c>
      <c r="U29" s="152">
        <f t="shared" si="0"/>
        <v>31.165428854307496</v>
      </c>
      <c r="V29" s="152">
        <f t="shared" si="1"/>
        <v>2.737160612700761</v>
      </c>
      <c r="W29" s="152">
        <f t="shared" si="2"/>
        <v>7.629973013155072</v>
      </c>
      <c r="X29" s="152">
        <f aca="true" t="shared" si="9" ref="X29:X37">G29/(AA29*1000)*100</f>
        <v>7.629973013155072</v>
      </c>
      <c r="Y29" s="152">
        <f t="shared" si="8"/>
        <v>51.19923359559575</v>
      </c>
      <c r="Z29" s="153">
        <f aca="true" t="shared" si="10" ref="Z29:Z34">G29/T29*100</f>
        <v>14.902514114608575</v>
      </c>
      <c r="AA29" s="58">
        <f>AB29</f>
        <v>143796.4063710773</v>
      </c>
      <c r="AB29" s="58">
        <f t="shared" si="3"/>
        <v>143796.4063710773</v>
      </c>
      <c r="AC29" s="58">
        <v>24748.91661545014</v>
      </c>
      <c r="AD29" s="58">
        <v>119047.48975562716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3">
        <f>AH28/AH29*AI27</f>
        <v>596.756987605852</v>
      </c>
    </row>
    <row r="30" spans="1:35" ht="14.25">
      <c r="A30" s="5">
        <v>23</v>
      </c>
      <c r="B30" s="6" t="s">
        <v>43</v>
      </c>
      <c r="C30" s="60">
        <f>'Anne-8'!R31+'Anne-7'!Q31+'Anne-7'!T31+'Anne-6'!AC31</f>
        <v>2933017</v>
      </c>
      <c r="D30" s="60">
        <f>'Anne-8'!S31+'Anne-7'!R31+'Anne-7'!U31+'Anne-6'!AD31</f>
        <v>900615</v>
      </c>
      <c r="E30" s="58">
        <f t="shared" si="5"/>
        <v>3833632</v>
      </c>
      <c r="F30" s="58"/>
      <c r="G30" s="58">
        <f>E30+E28</f>
        <v>5221990</v>
      </c>
      <c r="H30" s="58">
        <f>'Anne-6'!G31+'Anne-8'!H31</f>
        <v>6505433</v>
      </c>
      <c r="I30" s="58">
        <f>'Anne-6'!S31+'Anne-7'!I31+'Anne-8'!I31</f>
        <v>5933902</v>
      </c>
      <c r="J30" s="58">
        <f>'Anne-6'!I31+'Anne-8'!M31</f>
        <v>9261829</v>
      </c>
      <c r="K30" s="58">
        <f>'Anne-7'!J31+'Anne-8'!J31</f>
        <v>3757211</v>
      </c>
      <c r="L30" s="58">
        <f>'Anne-6'!N31</f>
        <v>11014960</v>
      </c>
      <c r="M30" s="58">
        <f>'Anne-6'!K31</f>
        <v>109150</v>
      </c>
      <c r="N30" s="217">
        <f>'Anne-6'!X31</f>
        <v>0</v>
      </c>
      <c r="O30" s="58"/>
      <c r="P30" s="58">
        <f>'Anne-7'!L31+'Anne-8'!L31</f>
        <v>318743</v>
      </c>
      <c r="Q30" s="58">
        <f>'Anne-4'!O30</f>
        <v>5269519</v>
      </c>
      <c r="R30" s="58">
        <f>'Anne-6'!W31</f>
        <v>0</v>
      </c>
      <c r="S30" s="58">
        <f t="shared" si="6"/>
        <v>42170747</v>
      </c>
      <c r="T30" s="58">
        <f t="shared" si="7"/>
        <v>47392737</v>
      </c>
      <c r="U30" s="152">
        <f t="shared" si="0"/>
        <v>13.385361900358243</v>
      </c>
      <c r="V30" s="152">
        <f t="shared" si="1"/>
        <v>2.051625996283575</v>
      </c>
      <c r="W30" s="152">
        <f t="shared" si="2"/>
        <v>5.825325799846749</v>
      </c>
      <c r="X30" s="152">
        <f t="shared" si="9"/>
        <v>6.846183596803774</v>
      </c>
      <c r="Y30" s="152">
        <f t="shared" si="8"/>
        <v>62.13328226538836</v>
      </c>
      <c r="Z30" s="153">
        <f t="shared" si="10"/>
        <v>11.018544888006785</v>
      </c>
      <c r="AA30" s="58">
        <f>AB30+AB28</f>
        <v>76275.92696225602</v>
      </c>
      <c r="AB30" s="58">
        <f t="shared" si="3"/>
        <v>65809.74406789152</v>
      </c>
      <c r="AC30" s="58">
        <v>21912.123271926637</v>
      </c>
      <c r="AD30" s="58">
        <v>43897.620795964875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'Anne-8'!R32+'Anne-7'!Q32+'Anne-7'!T32+'Anne-6'!AC32</f>
        <v>1623797</v>
      </c>
      <c r="D31" s="60">
        <f>'Anne-8'!S32+'Anne-7'!R32+'Anne-7'!U32+'Anne-6'!AD32</f>
        <v>1625016</v>
      </c>
      <c r="E31" s="58">
        <f t="shared" si="5"/>
        <v>3248813</v>
      </c>
      <c r="F31" s="58"/>
      <c r="G31" s="58">
        <f>E31+E8</f>
        <v>3486908</v>
      </c>
      <c r="H31" s="58">
        <f>'Anne-6'!G32+'Anne-8'!H32</f>
        <v>9575630</v>
      </c>
      <c r="I31" s="58">
        <f>'Anne-6'!S32+'Anne-7'!I32+'Anne-8'!I32</f>
        <v>7265419</v>
      </c>
      <c r="J31" s="58">
        <f>'Anne-6'!I32+'Anne-8'!M32</f>
        <v>11851390</v>
      </c>
      <c r="K31" s="58">
        <f>'Anne-7'!J32+'Anne-8'!J32</f>
        <v>1525717</v>
      </c>
      <c r="L31" s="58">
        <f>'Anne-6'!N32</f>
        <v>2682852</v>
      </c>
      <c r="M31" s="58">
        <f>'Anne-6'!K32</f>
        <v>3082883</v>
      </c>
      <c r="N31" s="217">
        <f>'Anne-6'!X32</f>
        <v>0</v>
      </c>
      <c r="O31" s="58"/>
      <c r="P31" s="58">
        <f>'Anne-7'!L32+'Anne-8'!L32</f>
        <v>1791852</v>
      </c>
      <c r="Q31" s="58">
        <f>'Anne-4'!O31</f>
        <v>0</v>
      </c>
      <c r="R31" s="58">
        <f>'Anne-6'!W32</f>
        <v>0</v>
      </c>
      <c r="S31" s="58">
        <f t="shared" si="6"/>
        <v>37775743</v>
      </c>
      <c r="T31" s="58">
        <f t="shared" si="7"/>
        <v>41262651</v>
      </c>
      <c r="U31" s="152">
        <f t="shared" si="0"/>
        <v>15.0379962687634</v>
      </c>
      <c r="V31" s="152">
        <f t="shared" si="1"/>
        <v>2.4584847814685022</v>
      </c>
      <c r="W31" s="152">
        <f t="shared" si="2"/>
        <v>4.224931174354567</v>
      </c>
      <c r="X31" s="152">
        <f t="shared" si="9"/>
        <v>4.506106686529752</v>
      </c>
      <c r="Y31" s="152">
        <f t="shared" si="8"/>
        <v>53.32343370546157</v>
      </c>
      <c r="Z31" s="153">
        <f t="shared" si="10"/>
        <v>8.450518605796802</v>
      </c>
      <c r="AA31" s="58">
        <f>AB31+AB8</f>
        <v>77381.83408802825</v>
      </c>
      <c r="AB31" s="58">
        <f t="shared" si="3"/>
        <v>76896.23489538416</v>
      </c>
      <c r="AC31" s="58">
        <v>10797.961184316262</v>
      </c>
      <c r="AD31" s="58">
        <v>66098.2737110679</v>
      </c>
      <c r="AE31" s="58">
        <v>9329940.33700887</v>
      </c>
      <c r="AF31" s="58">
        <v>58215178.05927157</v>
      </c>
      <c r="AG31" s="58">
        <f t="shared" si="4"/>
        <v>67545118.39628044</v>
      </c>
      <c r="AI31" s="72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'Anne-8'!R33+'Anne-7'!Q33+'Anne-7'!T33+'Anne-6'!AC33</f>
        <v>3168233</v>
      </c>
      <c r="D32" s="60">
        <f>'Anne-8'!S33+'Anne-7'!R33+'Anne-7'!U33+'Anne-6'!AD33</f>
        <v>0</v>
      </c>
      <c r="E32" s="58">
        <f t="shared" si="5"/>
        <v>3168233</v>
      </c>
      <c r="F32" s="58"/>
      <c r="G32" s="58">
        <f>E32</f>
        <v>3168233</v>
      </c>
      <c r="H32" s="58">
        <f>'Anne-6'!G33+'Anne-8'!H33</f>
        <v>3858136</v>
      </c>
      <c r="I32" s="58">
        <f>'Anne-6'!S33+'Anne-7'!I33+'Anne-8'!I33</f>
        <v>3774347</v>
      </c>
      <c r="J32" s="58">
        <f>'Anne-6'!I33+'Anne-8'!M33</f>
        <v>4367383</v>
      </c>
      <c r="K32" s="58">
        <f>'Anne-7'!J33+'Anne-8'!J33</f>
        <v>2912018</v>
      </c>
      <c r="L32" s="58">
        <f>'Anne-6'!N33</f>
        <v>1316958</v>
      </c>
      <c r="M32" s="58">
        <f>'Anne-6'!K33</f>
        <v>2179944</v>
      </c>
      <c r="N32" s="217">
        <f>'Anne-6'!X33</f>
        <v>0</v>
      </c>
      <c r="O32" s="58"/>
      <c r="P32" s="58">
        <f>'Anne-7'!L33+'Anne-8'!L33</f>
        <v>764521</v>
      </c>
      <c r="Q32" s="58">
        <f>'Anne-4'!O32</f>
        <v>0</v>
      </c>
      <c r="R32" s="58">
        <f>'Anne-6'!W33</f>
        <v>0</v>
      </c>
      <c r="S32" s="58">
        <f t="shared" si="6"/>
        <v>19173307</v>
      </c>
      <c r="T32" s="58">
        <f t="shared" si="7"/>
        <v>22341540</v>
      </c>
      <c r="U32" s="152">
        <f>C32/(AC32*1000)*100</f>
        <v>20.62162922126161</v>
      </c>
      <c r="V32" s="152"/>
      <c r="W32" s="152">
        <f t="shared" si="2"/>
        <v>20.62162922126161</v>
      </c>
      <c r="X32" s="152">
        <f t="shared" si="9"/>
        <v>20.62162922126161</v>
      </c>
      <c r="Y32" s="152">
        <f t="shared" si="8"/>
        <v>145.41826756806873</v>
      </c>
      <c r="Z32" s="153">
        <f t="shared" si="10"/>
        <v>14.18090695627965</v>
      </c>
      <c r="AA32" s="58">
        <f>AB32</f>
        <v>15363.640602816398</v>
      </c>
      <c r="AB32" s="58">
        <f t="shared" si="3"/>
        <v>15363.640602816398</v>
      </c>
      <c r="AC32" s="58">
        <v>15363.640602816398</v>
      </c>
      <c r="AD32" s="58"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'Anne-8'!R34+'Anne-7'!Q34+'Anne-7'!T34+'Anne-6'!AC34</f>
        <v>2230020</v>
      </c>
      <c r="D33" s="60">
        <f>'Anne-8'!S34+'Anne-7'!R34+'Anne-7'!U34+'Anne-6'!AD34</f>
        <v>76091</v>
      </c>
      <c r="E33" s="58">
        <f t="shared" si="5"/>
        <v>2306111</v>
      </c>
      <c r="F33" s="58"/>
      <c r="G33" s="58">
        <f>E33</f>
        <v>2306111</v>
      </c>
      <c r="H33" s="58">
        <f>'Anne-6'!G34+'Anne-8'!H34</f>
        <v>4161770</v>
      </c>
      <c r="I33" s="58">
        <f>'Anne-6'!S34+'Anne-7'!I34+'Anne-8'!I34</f>
        <v>964630</v>
      </c>
      <c r="J33" s="58">
        <f>'Anne-6'!I34+'Anne-8'!M34</f>
        <v>2160677</v>
      </c>
      <c r="K33" s="58">
        <f>'Anne-7'!J34+'Anne-8'!J34</f>
        <v>1519735</v>
      </c>
      <c r="L33" s="58">
        <f>'Anne-6'!N34</f>
        <v>0</v>
      </c>
      <c r="M33" s="58">
        <f>'Anne-6'!K34</f>
        <v>4109610</v>
      </c>
      <c r="N33" s="217">
        <f>'Anne-6'!X34</f>
        <v>0</v>
      </c>
      <c r="O33" s="58"/>
      <c r="P33" s="58">
        <f>'Anne-7'!L34+'Anne-8'!L34</f>
        <v>0</v>
      </c>
      <c r="Q33" s="58">
        <f>'Anne-4'!O33</f>
        <v>0</v>
      </c>
      <c r="R33" s="58">
        <f>'Anne-6'!W34</f>
        <v>0</v>
      </c>
      <c r="S33" s="58">
        <f t="shared" si="6"/>
        <v>12916422</v>
      </c>
      <c r="T33" s="58">
        <f t="shared" si="7"/>
        <v>15222533</v>
      </c>
      <c r="U33" s="152">
        <f>C33/(AC33*1000)*100</f>
        <v>19.952562397067997</v>
      </c>
      <c r="V33" s="152"/>
      <c r="W33" s="152">
        <f t="shared" si="2"/>
        <v>20.633368141121995</v>
      </c>
      <c r="X33" s="152">
        <f t="shared" si="9"/>
        <v>20.633368141121995</v>
      </c>
      <c r="Y33" s="152">
        <f t="shared" si="8"/>
        <v>136.19991727604537</v>
      </c>
      <c r="Z33" s="153">
        <f t="shared" si="10"/>
        <v>15.149325017065163</v>
      </c>
      <c r="AA33" s="58">
        <f>AB33</f>
        <v>11176.609578365225</v>
      </c>
      <c r="AB33" s="58">
        <f t="shared" si="3"/>
        <v>11176.609578365225</v>
      </c>
      <c r="AC33" s="58">
        <v>11176.609578365225</v>
      </c>
      <c r="AD33" s="58"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6">
        <f aca="true" t="shared" si="11" ref="C34:J34">SUM(C8:C33)</f>
        <v>77425448</v>
      </c>
      <c r="D34" s="86">
        <f t="shared" si="11"/>
        <v>39801174</v>
      </c>
      <c r="E34" s="58">
        <f t="shared" si="11"/>
        <v>117226622</v>
      </c>
      <c r="F34" s="58">
        <f>SUM(F8:F33)</f>
        <v>0</v>
      </c>
      <c r="G34" s="58">
        <f>SUM(G8:G33)</f>
        <v>117226622</v>
      </c>
      <c r="H34" s="58">
        <f>'Anne-6'!G35+'Anne-8'!H35</f>
        <v>181378351</v>
      </c>
      <c r="I34" s="58">
        <f>'Anne-6'!S35+'Anne-7'!I35+'Anne-8'!I35</f>
        <v>113534667</v>
      </c>
      <c r="J34" s="58">
        <f t="shared" si="11"/>
        <v>139890031</v>
      </c>
      <c r="K34" s="58">
        <f>'Anne-7'!J35+'Anne-8'!J35</f>
        <v>58131317</v>
      </c>
      <c r="L34" s="58">
        <f>'Anne-6'!N35</f>
        <v>118738927</v>
      </c>
      <c r="M34" s="58">
        <f>'Anne-6'!K35</f>
        <v>58407042</v>
      </c>
      <c r="N34" s="217">
        <f>'Anne-6'!X35</f>
        <v>0</v>
      </c>
      <c r="O34" s="58">
        <f>'Anne-7'!K35+'Anne-8'!K35</f>
        <v>1929657</v>
      </c>
      <c r="P34" s="58">
        <f>SUM(P8:P33)</f>
        <v>8728937</v>
      </c>
      <c r="Q34" s="58">
        <f>'Anne-4'!O34</f>
        <v>32355900</v>
      </c>
      <c r="R34" s="58">
        <f>'Anne-6'!W35</f>
        <v>3244563</v>
      </c>
      <c r="S34" s="58">
        <f t="shared" si="6"/>
        <v>716339392</v>
      </c>
      <c r="T34" s="58">
        <f>SUM(T8:T33)</f>
        <v>833566014</v>
      </c>
      <c r="U34" s="155">
        <f>C34/(AC34*1000)*100</f>
        <v>23.17727799984762</v>
      </c>
      <c r="V34" s="155">
        <f>D34/(AD34*1000)*100</f>
        <v>4.6455936589127935</v>
      </c>
      <c r="W34" s="155">
        <f t="shared" si="2"/>
        <v>9.84428717697265</v>
      </c>
      <c r="X34" s="155">
        <f t="shared" si="9"/>
        <v>9.84428717697265</v>
      </c>
      <c r="Y34" s="155">
        <f t="shared" si="8"/>
        <v>69.99999729396283</v>
      </c>
      <c r="Z34" s="155">
        <f t="shared" si="10"/>
        <v>14.063267939328439</v>
      </c>
      <c r="AA34" s="58">
        <f aca="true" t="shared" si="12" ref="AA34:AG34">SUM(AA8:AA33)</f>
        <v>1190808.6374624635</v>
      </c>
      <c r="AB34" s="58">
        <f t="shared" si="12"/>
        <v>1190808.6374624635</v>
      </c>
      <c r="AC34" s="38">
        <f t="shared" si="12"/>
        <v>334057.5541291304</v>
      </c>
      <c r="AD34" s="38">
        <f t="shared" si="12"/>
        <v>856751.0833333334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'Anne-8'!E36+'Anne-7'!G36+'Anne-6'!E36</f>
        <v>4500745</v>
      </c>
      <c r="G35" s="87">
        <f>F35</f>
        <v>4500745</v>
      </c>
      <c r="H35" s="58">
        <f>'Anne-6'!G36+'Anne-8'!H36</f>
        <v>10888843</v>
      </c>
      <c r="I35" s="58">
        <f>'Anne-6'!S36+'Anne-7'!I36+'Anne-8'!I36</f>
        <v>7969922</v>
      </c>
      <c r="J35" s="58">
        <f>'Anne-6'!I36+'Anne-8'!M36</f>
        <v>8858566</v>
      </c>
      <c r="K35" s="58">
        <f>'Anne-7'!J36+'Anne-8'!J36</f>
        <v>2962283</v>
      </c>
      <c r="L35" s="58">
        <f>'Anne-6'!N36</f>
        <v>5251411</v>
      </c>
      <c r="M35" s="58">
        <f>'Anne-6'!K36</f>
        <v>3133898</v>
      </c>
      <c r="N35" s="217">
        <f>'Anne-6'!X36</f>
        <v>0</v>
      </c>
      <c r="O35" s="58">
        <f>'Anne-7'!K36+'Anne-8'!K36</f>
        <v>0</v>
      </c>
      <c r="P35" s="58">
        <f>'Anne-7'!L36+'Anne-8'!L36</f>
        <v>882224</v>
      </c>
      <c r="Q35" s="58">
        <f>'Anne-4'!O35</f>
        <v>0</v>
      </c>
      <c r="R35" s="58">
        <f>'Anne-6'!W36</f>
        <v>0</v>
      </c>
      <c r="S35" s="58">
        <f t="shared" si="6"/>
        <v>39947147</v>
      </c>
      <c r="T35" s="58">
        <f>G35+S35</f>
        <v>44447892</v>
      </c>
      <c r="U35" s="152"/>
      <c r="V35" s="152"/>
      <c r="W35" s="152"/>
      <c r="X35" s="152">
        <f t="shared" si="9"/>
        <v>22.665309770908447</v>
      </c>
      <c r="Y35" s="152">
        <f t="shared" si="8"/>
        <v>223.8352185791204</v>
      </c>
      <c r="Z35" s="153"/>
      <c r="AA35" s="58">
        <f>AB35</f>
        <v>19857.416666666657</v>
      </c>
      <c r="AB35" s="58">
        <f>AC35+AD35</f>
        <v>19857.416666666657</v>
      </c>
      <c r="AC35" s="58">
        <v>19041.833333333325</v>
      </c>
      <c r="AD35" s="58">
        <v>815.5833333333336</v>
      </c>
      <c r="AE35" s="58">
        <f>'Anne-4'!AB35</f>
        <v>0</v>
      </c>
      <c r="AF35" s="58">
        <f>'Anne-4'!AC35</f>
        <v>17607.999999999985</v>
      </c>
      <c r="AG35" s="58">
        <f>'Anne-4'!AD35</f>
        <v>842.9999999999995</v>
      </c>
    </row>
    <row r="36" spans="1:33" ht="14.25">
      <c r="A36" s="4">
        <v>28</v>
      </c>
      <c r="B36" s="3" t="s">
        <v>49</v>
      </c>
      <c r="C36" s="58"/>
      <c r="D36" s="88"/>
      <c r="E36" s="58"/>
      <c r="F36" s="58">
        <f>'Anne-8'!E37+'Anne-7'!G37+'Anne-6'!E37</f>
        <v>2783208</v>
      </c>
      <c r="G36" s="87">
        <f>F36</f>
        <v>2783208</v>
      </c>
      <c r="H36" s="58">
        <f>'Anne-6'!G37+'Anne-8'!H37</f>
        <v>4458086</v>
      </c>
      <c r="I36" s="58">
        <f>'Anne-6'!S37+'Anne-7'!I37+'Anne-8'!I37</f>
        <v>6159269</v>
      </c>
      <c r="J36" s="58">
        <f>'Anne-6'!I37+'Anne-8'!M37</f>
        <v>6839284</v>
      </c>
      <c r="K36" s="58">
        <f>'Anne-7'!J37+'Anne-8'!J37</f>
        <v>3944255</v>
      </c>
      <c r="L36" s="58">
        <f>'Anne-6'!N37</f>
        <v>3237854</v>
      </c>
      <c r="M36" s="58">
        <f>'Anne-6'!K37</f>
        <v>1704239</v>
      </c>
      <c r="N36" s="217">
        <f>'Anne-6'!X37</f>
        <v>2825418</v>
      </c>
      <c r="O36" s="58">
        <f>'Anne-7'!K37+'Anne-8'!K37</f>
        <v>0</v>
      </c>
      <c r="P36" s="58">
        <f>'Anne-7'!L37+'Anne-8'!L37</f>
        <v>0</v>
      </c>
      <c r="Q36" s="58">
        <f>'Anne-4'!O36</f>
        <v>0</v>
      </c>
      <c r="R36" s="58">
        <f>'Anne-6'!W37</f>
        <v>0</v>
      </c>
      <c r="S36" s="58">
        <f t="shared" si="6"/>
        <v>29168405</v>
      </c>
      <c r="T36" s="58">
        <f>G36+S36</f>
        <v>31951613</v>
      </c>
      <c r="U36" s="152"/>
      <c r="V36" s="152"/>
      <c r="W36" s="152"/>
      <c r="X36" s="152">
        <f t="shared" si="9"/>
        <v>12.74194761161264</v>
      </c>
      <c r="Y36" s="152">
        <f t="shared" si="8"/>
        <v>146.2793219021077</v>
      </c>
      <c r="Z36" s="153"/>
      <c r="AA36" s="58">
        <f>AB36</f>
        <v>21842.877437853105</v>
      </c>
      <c r="AB36" s="58">
        <f>AC36+AD36</f>
        <v>21842.877437853105</v>
      </c>
      <c r="AC36" s="58">
        <v>21842.877437853105</v>
      </c>
      <c r="AD36" s="58">
        <v>0</v>
      </c>
      <c r="AE36" s="58">
        <v>6424623.633861813</v>
      </c>
      <c r="AF36" s="61">
        <v>4074054.461012357</v>
      </c>
      <c r="AG36" s="66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77425448</v>
      </c>
      <c r="D37" s="58">
        <f t="shared" si="13"/>
        <v>39801174</v>
      </c>
      <c r="E37" s="58">
        <f t="shared" si="13"/>
        <v>117226622</v>
      </c>
      <c r="F37" s="58">
        <f t="shared" si="13"/>
        <v>7283953</v>
      </c>
      <c r="G37" s="58">
        <f>SUM(G34:G36)</f>
        <v>124510575</v>
      </c>
      <c r="H37" s="58">
        <f t="shared" si="13"/>
        <v>196725280</v>
      </c>
      <c r="I37" s="58">
        <f t="shared" si="13"/>
        <v>127663858</v>
      </c>
      <c r="J37" s="58">
        <f t="shared" si="13"/>
        <v>155587881</v>
      </c>
      <c r="K37" s="58">
        <f>'Anne-7'!J38+'Anne-8'!J38</f>
        <v>65037855</v>
      </c>
      <c r="L37" s="58">
        <f>SUM(L34:L36)</f>
        <v>127228192</v>
      </c>
      <c r="M37" s="58">
        <f>SUM(M34:M36)</f>
        <v>63245179</v>
      </c>
      <c r="N37" s="217">
        <f>'Anne-6'!X38</f>
        <v>2825418</v>
      </c>
      <c r="O37" s="58">
        <f>SUM(O34:O36)</f>
        <v>1929657</v>
      </c>
      <c r="P37" s="58">
        <f>SUM(P34:P36)</f>
        <v>9611161</v>
      </c>
      <c r="Q37" s="58">
        <f>'Anne-4'!O37</f>
        <v>32355900</v>
      </c>
      <c r="R37" s="58">
        <f>'Anne-6'!W38</f>
        <v>3244563</v>
      </c>
      <c r="S37" s="58">
        <f t="shared" si="6"/>
        <v>785454944</v>
      </c>
      <c r="T37" s="58">
        <f>SUM(T34:T36)</f>
        <v>909965519</v>
      </c>
      <c r="U37" s="155">
        <f>C34/(AC34*1000)*100</f>
        <v>23.17727799984762</v>
      </c>
      <c r="V37" s="155">
        <f>D34/(AD34*1000)*100</f>
        <v>4.6455936589127935</v>
      </c>
      <c r="W37" s="155">
        <f>E34/(AB34*1000)*100</f>
        <v>9.84428717697265</v>
      </c>
      <c r="X37" s="155">
        <f t="shared" si="9"/>
        <v>10.102204682744178</v>
      </c>
      <c r="Y37" s="155">
        <f t="shared" si="8"/>
        <v>73.83033872566675</v>
      </c>
      <c r="Z37" s="155">
        <f>G34/T37*100</f>
        <v>12.882534508431192</v>
      </c>
      <c r="AA37" s="66">
        <f aca="true" t="shared" si="14" ref="AA37:AG37">SUM(AA34:AA36)</f>
        <v>1232508.9315669832</v>
      </c>
      <c r="AB37" s="58">
        <f t="shared" si="14"/>
        <v>1232508.9315669832</v>
      </c>
      <c r="AC37" s="58">
        <f t="shared" si="14"/>
        <v>374942.2649003168</v>
      </c>
      <c r="AD37" s="58">
        <f t="shared" si="14"/>
        <v>857566.6666666667</v>
      </c>
      <c r="AE37" s="67">
        <f t="shared" si="14"/>
        <v>262329816.71973336</v>
      </c>
      <c r="AF37" s="67">
        <f t="shared" si="14"/>
        <v>744788740.2019173</v>
      </c>
      <c r="AG37" s="67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4"/>
      <c r="V38" s="64"/>
      <c r="W38" s="64"/>
      <c r="X38" s="64"/>
      <c r="Y38" s="68"/>
      <c r="Z38" s="68"/>
      <c r="AA38" s="69"/>
      <c r="AB38" s="69"/>
      <c r="AC38" s="64"/>
      <c r="AD38" s="64"/>
      <c r="AE38" s="69"/>
      <c r="AF38" s="69"/>
      <c r="AG38" s="69"/>
    </row>
    <row r="39" spans="1:33" ht="14.25">
      <c r="A39" s="3"/>
      <c r="B39" s="3" t="s">
        <v>51</v>
      </c>
      <c r="C39" s="154">
        <f>C37/T37*100</f>
        <v>8.508613390657498</v>
      </c>
      <c r="D39" s="154">
        <f>D37/T37*100</f>
        <v>4.373921117773694</v>
      </c>
      <c r="E39" s="154">
        <f>E37/T37*100</f>
        <v>12.882534508431192</v>
      </c>
      <c r="F39" s="154">
        <f>F37/U37</f>
        <v>314271.28759675263</v>
      </c>
      <c r="G39" s="154">
        <f>G37/T37*100</f>
        <v>13.682999234611659</v>
      </c>
      <c r="H39" s="154">
        <f>H37/T37*100</f>
        <v>21.61898180671613</v>
      </c>
      <c r="I39" s="154">
        <f>I37/T37*100</f>
        <v>14.02952698035144</v>
      </c>
      <c r="J39" s="154">
        <f>J37/T37*100</f>
        <v>17.09821721277771</v>
      </c>
      <c r="K39" s="154">
        <f>K37/T37*100</f>
        <v>7.147287852343337</v>
      </c>
      <c r="L39" s="154">
        <f>L37/T37*100</f>
        <v>13.981649781611122</v>
      </c>
      <c r="M39" s="154">
        <f>M37/T37*100</f>
        <v>6.950283024954927</v>
      </c>
      <c r="N39" s="154">
        <f>N37/T37*100</f>
        <v>0.31049725962198793</v>
      </c>
      <c r="O39" s="154">
        <f>O37/T37*100</f>
        <v>0.21205825492383298</v>
      </c>
      <c r="P39" s="154">
        <f>P37/T37*100</f>
        <v>1.0562115595942707</v>
      </c>
      <c r="Q39" s="154">
        <f>Q37/T37*100</f>
        <v>3.5557281374306666</v>
      </c>
      <c r="R39" s="154">
        <f>R37/T37*100</f>
        <v>0.3565588950629238</v>
      </c>
      <c r="S39" s="154">
        <f>S37/T37*100</f>
        <v>86.31700076538834</v>
      </c>
      <c r="T39" s="154">
        <f>T37/T37*100</f>
        <v>100</v>
      </c>
      <c r="U39" s="64"/>
      <c r="V39" s="64"/>
      <c r="W39" s="64"/>
      <c r="X39" s="64"/>
      <c r="Y39" s="68"/>
      <c r="Z39" s="68"/>
      <c r="AA39" s="69"/>
      <c r="AB39" s="69"/>
      <c r="AC39" s="65"/>
      <c r="AD39" s="65"/>
      <c r="AE39" s="69"/>
      <c r="AF39" s="69"/>
      <c r="AG39" s="69"/>
    </row>
    <row r="40" spans="1:33" ht="14.25">
      <c r="A40" s="101"/>
      <c r="B40" s="440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64"/>
      <c r="V40" s="64"/>
      <c r="W40" s="64"/>
      <c r="X40" s="64"/>
      <c r="Y40" s="501"/>
      <c r="Z40" s="68"/>
      <c r="AA40" s="69"/>
      <c r="AB40" s="500"/>
      <c r="AC40" s="65"/>
      <c r="AD40" s="65"/>
      <c r="AE40" s="69"/>
      <c r="AF40" s="69"/>
      <c r="AG40" s="69"/>
    </row>
    <row r="41" spans="2:26" ht="14.25">
      <c r="B41" s="441" t="s">
        <v>208</v>
      </c>
      <c r="C41" s="81"/>
      <c r="D41" s="81"/>
      <c r="E41" s="81"/>
      <c r="Y41" s="32"/>
      <c r="Z41" s="32"/>
    </row>
    <row r="42" spans="2:33" ht="15">
      <c r="B42" s="26" t="s">
        <v>207</v>
      </c>
      <c r="AA42" s="277"/>
      <c r="AB42" s="42"/>
      <c r="AC42" s="42"/>
      <c r="AD42" s="42"/>
      <c r="AE42" s="42">
        <f>AE22+AE23+AE10</f>
        <v>5972077.622558512</v>
      </c>
      <c r="AF42" s="42">
        <f>AF22+AF23+AF10</f>
        <v>32523010.472636186</v>
      </c>
      <c r="AG42" s="42">
        <f>AG22+AG23+AG10</f>
        <v>38495088.0951947</v>
      </c>
    </row>
    <row r="43" spans="2:30" ht="15">
      <c r="B43" s="26" t="s">
        <v>78</v>
      </c>
      <c r="T43" s="81"/>
      <c r="Y43" s="496"/>
      <c r="Z43" s="23"/>
      <c r="AA43" s="42"/>
      <c r="AB43" s="42"/>
      <c r="AC43" s="157"/>
      <c r="AD43" s="157"/>
    </row>
    <row r="44" ht="15">
      <c r="B44" s="26" t="s">
        <v>74</v>
      </c>
    </row>
    <row r="45" spans="2:27" ht="15">
      <c r="B45" s="26" t="s">
        <v>73</v>
      </c>
      <c r="AA45" s="42"/>
    </row>
    <row r="46" spans="2:19" ht="15">
      <c r="B46" s="26" t="s">
        <v>77</v>
      </c>
      <c r="S46" s="81"/>
    </row>
    <row r="48" spans="5:21" ht="14.25">
      <c r="E48" s="81"/>
      <c r="T48" s="81"/>
      <c r="U48" s="81"/>
    </row>
    <row r="49" spans="5:20" ht="14.2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ht="14.25">
      <c r="D50" s="157">
        <f>D37/100000</f>
        <v>398.01174</v>
      </c>
    </row>
    <row r="51" spans="19:29" ht="14.25">
      <c r="S51" s="77">
        <v>3104575</v>
      </c>
      <c r="T51" s="309">
        <f>T10+T22</f>
        <v>24378872</v>
      </c>
      <c r="U51" s="78"/>
      <c r="V51" s="77"/>
      <c r="W51" s="77"/>
      <c r="AB51" s="81">
        <f>T10+T22</f>
        <v>24378872</v>
      </c>
      <c r="AC51" s="92">
        <f>AB51/(AB52*1000)*100</f>
        <v>54.040470160543975</v>
      </c>
    </row>
    <row r="52" spans="19:33" ht="14.25">
      <c r="S52" s="77"/>
      <c r="T52" s="309">
        <f>AB10+AB22+AB23</f>
        <v>45112.25</v>
      </c>
      <c r="U52" s="77"/>
      <c r="V52" s="77"/>
      <c r="W52" s="77"/>
      <c r="AB52" s="42">
        <f>AB10+AB22+AB23</f>
        <v>45112.25</v>
      </c>
      <c r="AC52">
        <f>AB52*1000</f>
        <v>45112250</v>
      </c>
      <c r="AG52" s="41" t="s">
        <v>94</v>
      </c>
    </row>
    <row r="53" spans="19:33" ht="15.75">
      <c r="S53" s="79"/>
      <c r="T53" s="310">
        <f>T51/(T52*1000)*100</f>
        <v>54.040470160543975</v>
      </c>
      <c r="U53" s="310">
        <f>S51/T51*100</f>
        <v>12.734695026086523</v>
      </c>
      <c r="V53" s="79"/>
      <c r="W53" s="77"/>
      <c r="AA53" s="43"/>
      <c r="AB53" s="480">
        <v>3514556</v>
      </c>
      <c r="AC53">
        <v>3514556</v>
      </c>
      <c r="AE53" s="41" t="s">
        <v>95</v>
      </c>
      <c r="AG53" s="43">
        <v>34582571</v>
      </c>
    </row>
    <row r="54" spans="4:33" ht="15">
      <c r="D54" s="92"/>
      <c r="E54" s="92"/>
      <c r="F54" s="92"/>
      <c r="G54" s="92"/>
      <c r="S54" s="79"/>
      <c r="T54" s="79"/>
      <c r="U54" s="79"/>
      <c r="V54" s="79"/>
      <c r="W54" s="77"/>
      <c r="AA54" s="44"/>
      <c r="AB54" s="41">
        <f>AB53/(AB52*1000)*100</f>
        <v>7.790690998564691</v>
      </c>
      <c r="AC54">
        <f>AC53/AC52*100</f>
        <v>7.790690998564691</v>
      </c>
      <c r="AE54" s="41">
        <v>14706583</v>
      </c>
      <c r="AG54" s="44">
        <f>AG53/AG37*100</f>
        <v>3.4130912786374465</v>
      </c>
    </row>
    <row r="55" spans="19:31" ht="14.25">
      <c r="S55" s="78"/>
      <c r="T55" s="78"/>
      <c r="U55" s="78"/>
      <c r="V55" s="78"/>
      <c r="W55" s="77"/>
      <c r="AE55" s="41">
        <v>-14768247</v>
      </c>
    </row>
    <row r="56" spans="2:31" ht="14.25">
      <c r="B56" s="95"/>
      <c r="C56" s="177" t="s">
        <v>87</v>
      </c>
      <c r="D56" s="177" t="s">
        <v>88</v>
      </c>
      <c r="E56" s="177" t="s">
        <v>47</v>
      </c>
      <c r="S56" s="92"/>
      <c r="AE56" s="41">
        <f>SUM(AE54:AE55)</f>
        <v>-61664</v>
      </c>
    </row>
    <row r="57" spans="2:5" ht="14.25">
      <c r="B57" s="177" t="s">
        <v>196</v>
      </c>
      <c r="C57" s="106">
        <f>C10+C22+C23</f>
        <v>2249605</v>
      </c>
      <c r="D57" s="106">
        <f>D10+D22+D23</f>
        <v>1143431</v>
      </c>
      <c r="E57" s="106">
        <f>SUM(C57:D57)</f>
        <v>3393036</v>
      </c>
    </row>
    <row r="58" spans="2:19" ht="14.25">
      <c r="B58" s="177" t="s">
        <v>197</v>
      </c>
      <c r="C58" s="106">
        <f>AC10+AC22+AC23</f>
        <v>8164.916666666664</v>
      </c>
      <c r="D58" s="106">
        <f>AD10+AD22+AD23</f>
        <v>36947.333333333336</v>
      </c>
      <c r="E58" s="106">
        <f>SUM(C58:D58)</f>
        <v>45112.25</v>
      </c>
      <c r="S58" s="92"/>
    </row>
    <row r="59" spans="2:5" ht="14.25">
      <c r="B59" s="177" t="s">
        <v>198</v>
      </c>
      <c r="C59" s="224">
        <f>C57/(C58*1000)*100</f>
        <v>27.552087692260596</v>
      </c>
      <c r="D59" s="224">
        <f>D57/(D58*1000)*100</f>
        <v>3.0947592067988667</v>
      </c>
      <c r="E59" s="224">
        <f>E57/(E58*1000)*100</f>
        <v>7.521318488880515</v>
      </c>
    </row>
  </sheetData>
  <sheetProtection/>
  <mergeCells count="12">
    <mergeCell ref="A6:A7"/>
    <mergeCell ref="B6:B7"/>
    <mergeCell ref="G6:G7"/>
    <mergeCell ref="C6:E6"/>
    <mergeCell ref="AE6:AG6"/>
    <mergeCell ref="Z6:Z7"/>
    <mergeCell ref="AA6:AA7"/>
    <mergeCell ref="S6:S7"/>
    <mergeCell ref="T6:T7"/>
    <mergeCell ref="X6:Y6"/>
    <mergeCell ref="AB6:AD6"/>
    <mergeCell ref="U6:W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 horizontalCentered="1" vertic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6" sqref="J26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10.851562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6" t="s">
        <v>119</v>
      </c>
    </row>
    <row r="2" spans="2:7" ht="15">
      <c r="B2" s="2" t="str">
        <f>'Anne-1'!B2</f>
        <v>No. 1-2(1)/Market Share/2013-CP&amp;M </v>
      </c>
      <c r="C2" s="2"/>
      <c r="D2" s="2"/>
      <c r="E2" s="2"/>
      <c r="F2" s="2">
        <f>'Anne-1'!G2</f>
        <v>0</v>
      </c>
      <c r="G2" s="2"/>
    </row>
    <row r="4" spans="2:7" ht="15.75">
      <c r="B4" s="29" t="s">
        <v>263</v>
      </c>
      <c r="G4" s="74"/>
    </row>
    <row r="5" ht="15.75" thickBot="1">
      <c r="B5" s="26" t="s">
        <v>233</v>
      </c>
    </row>
    <row r="6" spans="1:12" ht="17.25" customHeight="1">
      <c r="A6" s="582" t="s">
        <v>62</v>
      </c>
      <c r="B6" s="580" t="s">
        <v>64</v>
      </c>
      <c r="C6" s="585" t="s">
        <v>142</v>
      </c>
      <c r="D6" s="586"/>
      <c r="E6" s="586"/>
      <c r="F6" s="586"/>
      <c r="G6" s="587"/>
      <c r="H6" s="585" t="s">
        <v>145</v>
      </c>
      <c r="I6" s="586"/>
      <c r="J6" s="586"/>
      <c r="K6" s="586"/>
      <c r="L6" s="587"/>
    </row>
    <row r="7" spans="1:12" ht="16.5" customHeight="1">
      <c r="A7" s="583"/>
      <c r="B7" s="581"/>
      <c r="C7" s="584" t="s">
        <v>143</v>
      </c>
      <c r="D7" s="589" t="s">
        <v>141</v>
      </c>
      <c r="E7" s="589"/>
      <c r="F7" s="589"/>
      <c r="G7" s="588" t="s">
        <v>70</v>
      </c>
      <c r="H7" s="577" t="s">
        <v>144</v>
      </c>
      <c r="I7" s="589" t="s">
        <v>141</v>
      </c>
      <c r="J7" s="589"/>
      <c r="K7" s="589"/>
      <c r="L7" s="588" t="s">
        <v>70</v>
      </c>
    </row>
    <row r="8" spans="1:12" ht="21" customHeight="1">
      <c r="A8" s="584"/>
      <c r="B8" s="576"/>
      <c r="C8" s="584"/>
      <c r="D8" s="27" t="s">
        <v>131</v>
      </c>
      <c r="E8" s="27" t="s">
        <v>140</v>
      </c>
      <c r="F8" s="27" t="s">
        <v>89</v>
      </c>
      <c r="G8" s="588"/>
      <c r="H8" s="577"/>
      <c r="I8" s="27" t="s">
        <v>131</v>
      </c>
      <c r="J8" s="27" t="s">
        <v>140</v>
      </c>
      <c r="K8" s="27" t="s">
        <v>89</v>
      </c>
      <c r="L8" s="588"/>
    </row>
    <row r="9" spans="1:23" ht="15.75">
      <c r="A9" s="195">
        <v>1</v>
      </c>
      <c r="B9" s="196" t="s">
        <v>1</v>
      </c>
      <c r="C9" s="190">
        <f>'Anne-8'!D35/1000000</f>
        <v>19.368441</v>
      </c>
      <c r="D9" s="181">
        <f>'Anne-7'!F38/1000000</f>
        <v>2.385354</v>
      </c>
      <c r="E9" s="181">
        <f>'Anne-6'!D35/1000000</f>
        <v>95.472827</v>
      </c>
      <c r="F9" s="181">
        <f>E9+D9</f>
        <v>97.858181</v>
      </c>
      <c r="G9" s="193">
        <f>C9+F9</f>
        <v>117.226622</v>
      </c>
      <c r="H9" s="199">
        <f>C9/C22*100</f>
        <v>66.1425458249015</v>
      </c>
      <c r="I9" s="151">
        <f>D9/$D$22*100</f>
        <v>1.4079619831836843</v>
      </c>
      <c r="J9" s="151">
        <f aca="true" t="shared" si="0" ref="J9:J17">E9/$E$22*100</f>
        <v>13.422985640262938</v>
      </c>
      <c r="K9" s="151">
        <f aca="true" t="shared" si="1" ref="K9:K22">F9/$F$22*100</f>
        <v>11.111628235215777</v>
      </c>
      <c r="L9" s="200">
        <f aca="true" t="shared" si="2" ref="L9:L22">G9/$G$22*100</f>
        <v>12.88253450843119</v>
      </c>
      <c r="N9" s="208"/>
      <c r="O9" s="180"/>
      <c r="P9" s="180"/>
      <c r="V9" s="160">
        <v>29.14983</v>
      </c>
      <c r="W9" s="160">
        <f>V9/V15*100</f>
        <v>77.09726343320534</v>
      </c>
    </row>
    <row r="10" spans="1:23" ht="15.75">
      <c r="A10" s="195">
        <v>2</v>
      </c>
      <c r="B10" s="196" t="s">
        <v>75</v>
      </c>
      <c r="C10" s="192">
        <f>'Anne-8'!H38/1000000</f>
        <v>3.337879</v>
      </c>
      <c r="D10" s="184"/>
      <c r="E10" s="182">
        <f>'Anne-6'!G38/1000000</f>
        <v>193.387401</v>
      </c>
      <c r="F10" s="181">
        <f aca="true" t="shared" si="3" ref="F10:F21">E10+D10</f>
        <v>193.387401</v>
      </c>
      <c r="G10" s="191">
        <f aca="true" t="shared" si="4" ref="G10:G21">C10+F10</f>
        <v>196.72528</v>
      </c>
      <c r="H10" s="202">
        <f>C10/C22*100</f>
        <v>11.398739563781948</v>
      </c>
      <c r="I10" s="151"/>
      <c r="J10" s="150">
        <f t="shared" si="0"/>
        <v>27.18926827871946</v>
      </c>
      <c r="K10" s="150">
        <f t="shared" si="1"/>
        <v>21.9588069523446</v>
      </c>
      <c r="L10" s="201">
        <f t="shared" si="2"/>
        <v>21.61898180671612</v>
      </c>
      <c r="N10" s="74"/>
      <c r="O10" s="180"/>
      <c r="P10" s="180"/>
      <c r="Q10" s="74"/>
      <c r="V10" s="160">
        <v>3.573206</v>
      </c>
      <c r="W10" s="160">
        <f>V10/V15*100</f>
        <v>9.450635021991891</v>
      </c>
    </row>
    <row r="11" spans="1:23" ht="15.75">
      <c r="A11" s="195">
        <v>3</v>
      </c>
      <c r="B11" s="196" t="s">
        <v>13</v>
      </c>
      <c r="C11" s="192">
        <f>'Anne-8'!I38/1000000</f>
        <v>1.241341</v>
      </c>
      <c r="D11" s="181">
        <f>'Anne-7'!I38/1000000</f>
        <v>92.072518</v>
      </c>
      <c r="E11" s="181">
        <f>'Anne-6'!S38/1000000</f>
        <v>34.349999</v>
      </c>
      <c r="F11" s="181">
        <f t="shared" si="3"/>
        <v>126.422517</v>
      </c>
      <c r="G11" s="191">
        <f t="shared" si="4"/>
        <v>127.663858</v>
      </c>
      <c r="H11" s="202">
        <f>C11/C22*100</f>
        <v>4.23913592099793</v>
      </c>
      <c r="I11" s="150">
        <f>D11/$D$22*100</f>
        <v>54.346065632185194</v>
      </c>
      <c r="J11" s="151">
        <f t="shared" si="0"/>
        <v>4.829432183044567</v>
      </c>
      <c r="K11" s="150">
        <f t="shared" si="1"/>
        <v>14.355059486178746</v>
      </c>
      <c r="L11" s="201">
        <f t="shared" si="2"/>
        <v>14.029526980351436</v>
      </c>
      <c r="N11" s="74"/>
      <c r="O11" s="180"/>
      <c r="P11" s="180"/>
      <c r="Q11" s="74"/>
      <c r="V11" s="160">
        <v>2.756253</v>
      </c>
      <c r="W11" s="160">
        <f>V11/V15*100</f>
        <v>7.2899074756032025</v>
      </c>
    </row>
    <row r="12" spans="1:23" ht="15.75">
      <c r="A12" s="195">
        <v>4</v>
      </c>
      <c r="B12" s="196" t="s">
        <v>109</v>
      </c>
      <c r="C12" s="192">
        <f>'Anne-8'!M38/1000000</f>
        <v>0.0447</v>
      </c>
      <c r="D12" s="184"/>
      <c r="E12" s="182">
        <f>'Anne-6'!I38/1000000</f>
        <v>155.543181</v>
      </c>
      <c r="F12" s="181">
        <f t="shared" si="3"/>
        <v>155.543181</v>
      </c>
      <c r="G12" s="191">
        <f t="shared" si="4"/>
        <v>155.587881</v>
      </c>
      <c r="H12" s="202">
        <f>C12/C22*100</f>
        <v>0.15264893020419643</v>
      </c>
      <c r="I12" s="150"/>
      <c r="J12" s="150">
        <f t="shared" si="0"/>
        <v>21.868566697033273</v>
      </c>
      <c r="K12" s="150">
        <f t="shared" si="1"/>
        <v>17.661660825218878</v>
      </c>
      <c r="L12" s="201">
        <f t="shared" si="2"/>
        <v>17.098217212777705</v>
      </c>
      <c r="N12" s="208"/>
      <c r="O12" s="180"/>
      <c r="P12" s="180"/>
      <c r="Q12" s="74"/>
      <c r="V12" s="160">
        <v>1.115693</v>
      </c>
      <c r="W12" s="160">
        <f>V12/V15*100</f>
        <v>2.950853474328432</v>
      </c>
    </row>
    <row r="13" spans="1:23" ht="15.75">
      <c r="A13" s="195">
        <v>5</v>
      </c>
      <c r="B13" s="196" t="s">
        <v>71</v>
      </c>
      <c r="C13" s="192">
        <f>'Anne-8'!J38/1000000</f>
        <v>1.490917</v>
      </c>
      <c r="D13" s="181">
        <f>'Anne-7'!J38/1000000</f>
        <v>63.546938</v>
      </c>
      <c r="E13" s="185"/>
      <c r="F13" s="181">
        <f>E13+D13</f>
        <v>63.546938</v>
      </c>
      <c r="G13" s="193">
        <f t="shared" si="4"/>
        <v>65.037855</v>
      </c>
      <c r="H13" s="202">
        <f>C13/C22*100</f>
        <v>5.091429196269575</v>
      </c>
      <c r="I13" s="150">
        <f>D13/$D$22*100</f>
        <v>37.50876090162325</v>
      </c>
      <c r="J13" s="151">
        <f t="shared" si="0"/>
        <v>0</v>
      </c>
      <c r="K13" s="151">
        <f t="shared" si="1"/>
        <v>7.215645573284327</v>
      </c>
      <c r="L13" s="200">
        <f t="shared" si="2"/>
        <v>7.147287852343334</v>
      </c>
      <c r="N13" s="74"/>
      <c r="O13" s="180"/>
      <c r="P13" s="180"/>
      <c r="Q13" s="74"/>
      <c r="V13" s="160">
        <v>0.929564</v>
      </c>
      <c r="W13" s="160">
        <f>V13/V15*100</f>
        <v>2.4585680460580415</v>
      </c>
    </row>
    <row r="14" spans="1:23" ht="15.75">
      <c r="A14" s="195">
        <v>6</v>
      </c>
      <c r="B14" s="196" t="s">
        <v>67</v>
      </c>
      <c r="C14" s="192"/>
      <c r="D14" s="184"/>
      <c r="E14" s="181">
        <f>'Anne-6'!N38/1000000</f>
        <v>127.228192</v>
      </c>
      <c r="F14" s="181">
        <f t="shared" si="3"/>
        <v>127.228192</v>
      </c>
      <c r="G14" s="193">
        <f t="shared" si="4"/>
        <v>127.228192</v>
      </c>
      <c r="H14" s="202"/>
      <c r="I14" s="151"/>
      <c r="J14" s="150">
        <f t="shared" si="0"/>
        <v>17.88762570372632</v>
      </c>
      <c r="K14" s="151">
        <f t="shared" si="1"/>
        <v>14.446542497480658</v>
      </c>
      <c r="L14" s="201">
        <f t="shared" si="2"/>
        <v>13.98164978161112</v>
      </c>
      <c r="N14" s="74"/>
      <c r="O14" s="180"/>
      <c r="P14" s="180"/>
      <c r="Q14" s="74"/>
      <c r="V14" s="160">
        <v>0.284617</v>
      </c>
      <c r="W14" s="160">
        <f>V14/V15*100</f>
        <v>0.7527725488131013</v>
      </c>
    </row>
    <row r="15" spans="1:23" ht="15">
      <c r="A15" s="195">
        <v>7</v>
      </c>
      <c r="B15" s="196" t="s">
        <v>68</v>
      </c>
      <c r="C15" s="192"/>
      <c r="D15" s="184"/>
      <c r="E15" s="181">
        <f>'Anne-6'!K38/1000000</f>
        <v>63.245179</v>
      </c>
      <c r="F15" s="181">
        <f t="shared" si="3"/>
        <v>63.245179</v>
      </c>
      <c r="G15" s="193">
        <f t="shared" si="4"/>
        <v>63.245179</v>
      </c>
      <c r="H15" s="202"/>
      <c r="I15" s="151"/>
      <c r="J15" s="151">
        <f t="shared" si="0"/>
        <v>8.891945029896927</v>
      </c>
      <c r="K15" s="151">
        <f t="shared" si="1"/>
        <v>7.181381357555337</v>
      </c>
      <c r="L15" s="200">
        <f t="shared" si="2"/>
        <v>6.950283024954926</v>
      </c>
      <c r="N15" s="74"/>
      <c r="O15" s="180"/>
      <c r="P15" s="180"/>
      <c r="Q15" s="74"/>
      <c r="V15" s="160">
        <f>SUM(V9:V14)</f>
        <v>37.809163</v>
      </c>
      <c r="W15" s="160">
        <f>V15/V15*100</f>
        <v>100</v>
      </c>
    </row>
    <row r="16" spans="1:17" s="274" customFormat="1" ht="15">
      <c r="A16" s="266">
        <v>8</v>
      </c>
      <c r="B16" s="267" t="s">
        <v>2</v>
      </c>
      <c r="C16" s="268">
        <f>'Anne-8'!E38/1000000</f>
        <v>3.542847</v>
      </c>
      <c r="D16" s="269">
        <f>'Anne-7'!G38/1000000</f>
        <v>0.130046</v>
      </c>
      <c r="E16" s="269">
        <f>'Anne-6'!E38/1000000</f>
        <v>3.61106</v>
      </c>
      <c r="F16" s="269">
        <f t="shared" si="3"/>
        <v>3.7411060000000003</v>
      </c>
      <c r="G16" s="270">
        <f t="shared" si="4"/>
        <v>7.283953</v>
      </c>
      <c r="H16" s="271">
        <f>C16/C22*100</f>
        <v>12.098698085618498</v>
      </c>
      <c r="I16" s="272">
        <f>D16/$D$22*100</f>
        <v>0.07676002139099916</v>
      </c>
      <c r="J16" s="272">
        <f t="shared" si="0"/>
        <v>0.5076963576885378</v>
      </c>
      <c r="K16" s="272">
        <f t="shared" si="1"/>
        <v>0.42479615537238685</v>
      </c>
      <c r="L16" s="273">
        <f t="shared" si="2"/>
        <v>0.8004647261804652</v>
      </c>
      <c r="N16" s="275"/>
      <c r="O16" s="276"/>
      <c r="P16" s="276"/>
      <c r="Q16" s="275"/>
    </row>
    <row r="17" spans="1:17" ht="15">
      <c r="A17" s="195">
        <v>9</v>
      </c>
      <c r="B17" s="196" t="s">
        <v>201</v>
      </c>
      <c r="C17" s="192"/>
      <c r="D17" s="184"/>
      <c r="E17" s="181">
        <f>'Anne-6'!X38/1000000</f>
        <v>2.825418</v>
      </c>
      <c r="F17" s="181">
        <f t="shared" si="3"/>
        <v>2.825418</v>
      </c>
      <c r="G17" s="193">
        <f t="shared" si="4"/>
        <v>2.825418</v>
      </c>
      <c r="H17" s="202"/>
      <c r="I17" s="151"/>
      <c r="J17" s="151">
        <f t="shared" si="0"/>
        <v>0.3972391562443252</v>
      </c>
      <c r="K17" s="151">
        <f t="shared" si="1"/>
        <v>0.32082135703183456</v>
      </c>
      <c r="L17" s="200">
        <f t="shared" si="2"/>
        <v>0.3104972596219879</v>
      </c>
      <c r="N17" s="74"/>
      <c r="P17" s="180"/>
      <c r="Q17" s="74"/>
    </row>
    <row r="18" spans="1:22" ht="15">
      <c r="A18" s="195">
        <v>10</v>
      </c>
      <c r="B18" s="196" t="s">
        <v>204</v>
      </c>
      <c r="C18" s="192">
        <f>'Anne-8'!K38/1000000</f>
        <v>0.202402</v>
      </c>
      <c r="D18" s="181">
        <f>'Anne-7'!K38/1000000</f>
        <v>1.727255</v>
      </c>
      <c r="E18" s="185"/>
      <c r="F18" s="181">
        <f t="shared" si="3"/>
        <v>1.727255</v>
      </c>
      <c r="G18" s="193">
        <f t="shared" si="4"/>
        <v>1.929657</v>
      </c>
      <c r="H18" s="202">
        <f>C18/C22*100</f>
        <v>0.6911957219505542</v>
      </c>
      <c r="I18" s="151">
        <f>D18/$D$22*100</f>
        <v>1.0195171765968216</v>
      </c>
      <c r="J18" s="151"/>
      <c r="K18" s="151">
        <f t="shared" si="1"/>
        <v>0.19612683611416837</v>
      </c>
      <c r="L18" s="200">
        <f t="shared" si="2"/>
        <v>0.21205825492383296</v>
      </c>
      <c r="N18" s="74"/>
      <c r="P18" s="180"/>
      <c r="Q18" s="74"/>
      <c r="V18" s="26">
        <v>162044</v>
      </c>
    </row>
    <row r="19" spans="1:22" ht="15">
      <c r="A19" s="195">
        <v>11</v>
      </c>
      <c r="B19" s="196" t="s">
        <v>203</v>
      </c>
      <c r="C19" s="192">
        <f>'Anne-8'!L38/1000000</f>
        <v>0.054351</v>
      </c>
      <c r="D19" s="181">
        <f>'Anne-7'!L38/1000000</f>
        <v>9.55681</v>
      </c>
      <c r="E19" s="185"/>
      <c r="F19" s="181">
        <f t="shared" si="3"/>
        <v>9.55681</v>
      </c>
      <c r="G19" s="193">
        <f t="shared" si="4"/>
        <v>9.611161000000001</v>
      </c>
      <c r="H19" s="202">
        <f>C19/C22*100</f>
        <v>0.18560675627580048</v>
      </c>
      <c r="I19" s="151">
        <f>D19/$D$22*100</f>
        <v>5.6409342850200295</v>
      </c>
      <c r="J19" s="151"/>
      <c r="K19" s="151">
        <f t="shared" si="1"/>
        <v>1.085159347429445</v>
      </c>
      <c r="L19" s="200">
        <f t="shared" si="2"/>
        <v>1.0562115595942705</v>
      </c>
      <c r="N19" s="74"/>
      <c r="P19" s="180"/>
      <c r="Q19" s="74"/>
      <c r="V19" s="26">
        <v>122573</v>
      </c>
    </row>
    <row r="20" spans="1:17" ht="15">
      <c r="A20" s="195">
        <v>12</v>
      </c>
      <c r="B20" s="196" t="s">
        <v>136</v>
      </c>
      <c r="C20" s="192"/>
      <c r="D20" s="184"/>
      <c r="E20" s="181">
        <f>'Anne-6'!V38/1000000</f>
        <v>32.3559</v>
      </c>
      <c r="F20" s="181">
        <f t="shared" si="3"/>
        <v>32.3559</v>
      </c>
      <c r="G20" s="193">
        <f t="shared" si="4"/>
        <v>32.3559</v>
      </c>
      <c r="H20" s="202"/>
      <c r="I20" s="151"/>
      <c r="J20" s="151">
        <f>E20/$E$22*100</f>
        <v>4.549072178178861</v>
      </c>
      <c r="K20" s="151">
        <f t="shared" si="1"/>
        <v>3.6739568254985056</v>
      </c>
      <c r="L20" s="200">
        <f t="shared" si="2"/>
        <v>3.5557281374306657</v>
      </c>
      <c r="N20" s="74"/>
      <c r="P20" s="180"/>
      <c r="Q20" s="74"/>
    </row>
    <row r="21" spans="1:17" ht="15">
      <c r="A21" s="209">
        <v>13</v>
      </c>
      <c r="B21" s="210" t="s">
        <v>146</v>
      </c>
      <c r="C21" s="211"/>
      <c r="D21" s="215"/>
      <c r="E21" s="216">
        <f>'Anne-6'!W38/1000000</f>
        <v>3.244563</v>
      </c>
      <c r="F21" s="181">
        <f t="shared" si="3"/>
        <v>3.244563</v>
      </c>
      <c r="G21" s="193">
        <f t="shared" si="4"/>
        <v>3.244563</v>
      </c>
      <c r="H21" s="212"/>
      <c r="I21" s="213"/>
      <c r="J21" s="151">
        <f>E21/$E$22*100</f>
        <v>0.45616877520478616</v>
      </c>
      <c r="K21" s="151">
        <f t="shared" si="1"/>
        <v>0.36841455127534417</v>
      </c>
      <c r="L21" s="200">
        <f t="shared" si="2"/>
        <v>0.3565588950629237</v>
      </c>
      <c r="N21" s="74"/>
      <c r="P21" s="180"/>
      <c r="Q21" s="74"/>
    </row>
    <row r="22" spans="1:16" ht="16.5" thickBot="1">
      <c r="A22" s="197"/>
      <c r="B22" s="198" t="s">
        <v>47</v>
      </c>
      <c r="C22" s="194">
        <f>SUM(C9:C21)</f>
        <v>29.282878</v>
      </c>
      <c r="D22" s="194">
        <f>SUM(D9:D21)</f>
        <v>169.41892100000004</v>
      </c>
      <c r="E22" s="194">
        <f>SUM(E9:E21)</f>
        <v>711.26372</v>
      </c>
      <c r="F22" s="194">
        <f>SUM(F9:F21)</f>
        <v>880.682641</v>
      </c>
      <c r="G22" s="194">
        <f>SUM(G9:G21)</f>
        <v>909.9655190000002</v>
      </c>
      <c r="H22" s="203">
        <f>C22/C22*100</f>
        <v>100</v>
      </c>
      <c r="I22" s="204">
        <f>D22/$D$22*100</f>
        <v>100</v>
      </c>
      <c r="J22" s="204">
        <f>E22/$E$22*100</f>
        <v>100</v>
      </c>
      <c r="K22" s="204">
        <f t="shared" si="1"/>
        <v>100</v>
      </c>
      <c r="L22" s="205">
        <f t="shared" si="2"/>
        <v>100</v>
      </c>
      <c r="N22" s="74"/>
      <c r="P22" s="180"/>
    </row>
    <row r="23" spans="1:14" ht="22.5" customHeight="1">
      <c r="A23" s="187" t="s">
        <v>137</v>
      </c>
      <c r="B23" s="188"/>
      <c r="C23" s="189">
        <f>'Anne-8'!O35/1000000</f>
        <v>23.172366</v>
      </c>
      <c r="D23" s="189">
        <f>'Anne-7'!N35/1000000</f>
        <v>148.404402</v>
      </c>
      <c r="E23" s="189">
        <f>'Anne-6'!Z35/1000000</f>
        <v>661.989246</v>
      </c>
      <c r="F23" s="189">
        <f>E23+D23</f>
        <v>810.393648</v>
      </c>
      <c r="G23" s="189">
        <f>F23+C23</f>
        <v>833.566014</v>
      </c>
      <c r="H23" s="176"/>
      <c r="I23" s="176"/>
      <c r="J23" s="176"/>
      <c r="K23" s="176"/>
      <c r="L23" s="176"/>
      <c r="N23" s="74"/>
    </row>
    <row r="24" ht="15.75" customHeight="1">
      <c r="L24" s="161"/>
    </row>
    <row r="25" spans="1:10" ht="31.5" customHeight="1">
      <c r="A25" s="576" t="s">
        <v>139</v>
      </c>
      <c r="B25" s="577"/>
      <c r="C25" s="179">
        <f>C9/C22*100</f>
        <v>66.1425458249015</v>
      </c>
      <c r="D25" s="179">
        <f>D9/D22*100</f>
        <v>1.4079619831836843</v>
      </c>
      <c r="E25" s="179">
        <f>E9/E22*100</f>
        <v>13.422985640262938</v>
      </c>
      <c r="F25" s="179">
        <f>F9/F22*100</f>
        <v>11.111628235215777</v>
      </c>
      <c r="G25" s="179">
        <f>G9/G22*100</f>
        <v>12.88253450843119</v>
      </c>
      <c r="H25" s="102"/>
      <c r="I25" s="102"/>
      <c r="J25" s="102"/>
    </row>
    <row r="26" spans="1:7" ht="33.75" customHeight="1">
      <c r="A26" s="578" t="s">
        <v>138</v>
      </c>
      <c r="B26" s="579"/>
      <c r="C26" s="179">
        <f>C9/C23*100</f>
        <v>83.58421837459325</v>
      </c>
      <c r="D26" s="179">
        <f>D9/D23*100</f>
        <v>1.6073337231600446</v>
      </c>
      <c r="E26" s="179">
        <f>E9/E23*100</f>
        <v>14.422111473393933</v>
      </c>
      <c r="F26" s="179">
        <f>F9/F23*100</f>
        <v>12.075388453686399</v>
      </c>
      <c r="G26" s="179">
        <f>G9/G23*100</f>
        <v>14.063267939328439</v>
      </c>
    </row>
    <row r="27" spans="10:12" ht="15">
      <c r="J27" s="208"/>
      <c r="K27" s="161"/>
      <c r="L27" s="161"/>
    </row>
    <row r="28" spans="8:12" ht="15">
      <c r="H28" s="161"/>
      <c r="I28" s="161"/>
      <c r="J28" s="161"/>
      <c r="K28" s="161"/>
      <c r="L28" s="161"/>
    </row>
    <row r="30" spans="3:12" ht="15">
      <c r="C30" s="208"/>
      <c r="D30" s="74"/>
      <c r="E30" s="74"/>
      <c r="F30" s="208"/>
      <c r="G30" s="208"/>
      <c r="K30" s="161">
        <f>K17+K18+K19+K20+K21</f>
        <v>5.644478917349297</v>
      </c>
      <c r="L30" s="161">
        <f>L17+L18+L19+L20+L21</f>
        <v>5.491054106633681</v>
      </c>
    </row>
    <row r="31" spans="3:12" ht="15">
      <c r="C31" s="161">
        <f>C17+C18+C19+C20+C21</f>
        <v>0.256753</v>
      </c>
      <c r="D31" s="161">
        <f aca="true" t="shared" si="5" ref="D31:L31">D17+D18+D19+D20+D21</f>
        <v>11.284065</v>
      </c>
      <c r="E31" s="161">
        <f t="shared" si="5"/>
        <v>38.425881</v>
      </c>
      <c r="F31" s="161">
        <f t="shared" si="5"/>
        <v>49.709946</v>
      </c>
      <c r="G31" s="161">
        <f t="shared" si="5"/>
        <v>49.966699</v>
      </c>
      <c r="H31" s="161">
        <f t="shared" si="5"/>
        <v>0.8768024782263547</v>
      </c>
      <c r="I31" s="161">
        <f t="shared" si="5"/>
        <v>6.6604514616168515</v>
      </c>
      <c r="J31" s="161">
        <f t="shared" si="5"/>
        <v>5.402480109627972</v>
      </c>
      <c r="K31" s="161">
        <f t="shared" si="5"/>
        <v>5.644478917349297</v>
      </c>
      <c r="L31" s="161">
        <f t="shared" si="5"/>
        <v>5.491054106633681</v>
      </c>
    </row>
    <row r="33" spans="13:16" ht="15">
      <c r="M33" s="180">
        <v>247.24806999999998</v>
      </c>
      <c r="N33" s="180">
        <v>52.985749999999996</v>
      </c>
      <c r="O33" s="180">
        <v>884.2925</v>
      </c>
      <c r="P33" s="180">
        <f>SUM(M33:O33)</f>
        <v>1184.52632</v>
      </c>
    </row>
    <row r="34" spans="3:5" ht="15">
      <c r="C34" s="26">
        <f>C9*10</f>
        <v>193.68441</v>
      </c>
      <c r="D34" s="26">
        <f>D9*10</f>
        <v>23.85354</v>
      </c>
      <c r="E34" s="26">
        <f>E9*10</f>
        <v>954.72827</v>
      </c>
    </row>
    <row r="35" ht="15">
      <c r="G35" s="214"/>
    </row>
  </sheetData>
  <sheetProtection/>
  <mergeCells count="12">
    <mergeCell ref="H7:H8"/>
    <mergeCell ref="H6:L6"/>
    <mergeCell ref="I7:K7"/>
    <mergeCell ref="L7:L8"/>
    <mergeCell ref="D7:F7"/>
    <mergeCell ref="C7:C8"/>
    <mergeCell ref="A25:B25"/>
    <mergeCell ref="A26:B26"/>
    <mergeCell ref="B6:B8"/>
    <mergeCell ref="A6:A8"/>
    <mergeCell ref="C6:G6"/>
    <mergeCell ref="G7:G8"/>
  </mergeCells>
  <printOptions horizontalCentered="1" vertic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W1">
      <selection activeCell="AK10" sqref="AK10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5" width="10.7109375" style="0" hidden="1" customWidth="1"/>
    <col min="16" max="16" width="11.7109375" style="0" hidden="1" customWidth="1"/>
    <col min="17" max="17" width="12.421875" style="0" hidden="1" customWidth="1"/>
    <col min="18" max="19" width="10.7109375" style="0" hidden="1" customWidth="1"/>
    <col min="20" max="21" width="11.7109375" style="0" hidden="1" customWidth="1"/>
    <col min="22" max="22" width="11.421875" style="0" hidden="1" customWidth="1"/>
    <col min="23" max="23" width="8.8515625" style="0" customWidth="1"/>
    <col min="24" max="24" width="11.00390625" style="0" customWidth="1"/>
    <col min="25" max="25" width="10.8515625" style="0" customWidth="1"/>
    <col min="26" max="26" width="9.7109375" style="0" customWidth="1"/>
    <col min="27" max="27" width="11.421875" style="0" customWidth="1"/>
    <col min="28" max="28" width="9.57421875" style="0" customWidth="1"/>
    <col min="29" max="29" width="9.7109375" style="0" customWidth="1"/>
    <col min="30" max="30" width="9.421875" style="0" customWidth="1"/>
    <col min="31" max="31" width="10.00390625" style="0" customWidth="1"/>
    <col min="32" max="32" width="10.28125" style="0" customWidth="1"/>
    <col min="33" max="33" width="8.00390625" style="0" customWidth="1"/>
    <col min="34" max="34" width="7.57421875" style="0" customWidth="1"/>
    <col min="35" max="35" width="7.8515625" style="0" customWidth="1"/>
    <col min="36" max="36" width="8.28125" style="0" customWidth="1"/>
    <col min="37" max="37" width="6.28125" style="0" customWidth="1"/>
    <col min="41" max="41" width="9.7109375" style="0" bestFit="1" customWidth="1"/>
    <col min="42" max="43" width="9.28125" style="0" bestFit="1" customWidth="1"/>
  </cols>
  <sheetData>
    <row r="1" spans="1:35" ht="15">
      <c r="A1" s="186" t="s">
        <v>264</v>
      </c>
      <c r="AI1" s="76" t="s">
        <v>115</v>
      </c>
    </row>
    <row r="2" ht="13.5" thickBot="1">
      <c r="A2" s="186"/>
    </row>
    <row r="3" spans="1:37" ht="12.75" customHeight="1" thickBot="1">
      <c r="A3" s="599" t="s">
        <v>19</v>
      </c>
      <c r="B3" s="602" t="s">
        <v>20</v>
      </c>
      <c r="C3" s="605" t="s">
        <v>149</v>
      </c>
      <c r="D3" s="606"/>
      <c r="E3" s="606"/>
      <c r="F3" s="606"/>
      <c r="G3" s="606"/>
      <c r="H3" s="606"/>
      <c r="I3" s="606"/>
      <c r="J3" s="606"/>
      <c r="K3" s="606"/>
      <c r="L3" s="606"/>
      <c r="M3" s="607" t="s">
        <v>150</v>
      </c>
      <c r="N3" s="606"/>
      <c r="O3" s="606"/>
      <c r="P3" s="606"/>
      <c r="Q3" s="606"/>
      <c r="R3" s="606"/>
      <c r="S3" s="606"/>
      <c r="T3" s="606"/>
      <c r="U3" s="606"/>
      <c r="V3" s="608"/>
      <c r="W3" s="610" t="s">
        <v>265</v>
      </c>
      <c r="X3" s="611"/>
      <c r="Y3" s="611"/>
      <c r="Z3" s="611"/>
      <c r="AA3" s="611"/>
      <c r="AB3" s="611"/>
      <c r="AC3" s="611"/>
      <c r="AD3" s="611"/>
      <c r="AE3" s="611"/>
      <c r="AF3" s="612"/>
      <c r="AG3" s="613" t="s">
        <v>155</v>
      </c>
      <c r="AH3" s="614"/>
      <c r="AI3" s="614"/>
      <c r="AJ3" s="614"/>
      <c r="AK3" s="615"/>
    </row>
    <row r="4" spans="1:37" ht="12.75" customHeight="1">
      <c r="A4" s="600"/>
      <c r="B4" s="603"/>
      <c r="C4" s="619" t="s">
        <v>205</v>
      </c>
      <c r="D4" s="620"/>
      <c r="E4" s="620"/>
      <c r="F4" s="620"/>
      <c r="G4" s="621"/>
      <c r="H4" s="622" t="s">
        <v>234</v>
      </c>
      <c r="I4" s="620"/>
      <c r="J4" s="620"/>
      <c r="K4" s="620"/>
      <c r="L4" s="621"/>
      <c r="M4" s="622" t="s">
        <v>205</v>
      </c>
      <c r="N4" s="620"/>
      <c r="O4" s="620"/>
      <c r="P4" s="620"/>
      <c r="Q4" s="621"/>
      <c r="R4" s="622" t="s">
        <v>234</v>
      </c>
      <c r="S4" s="620"/>
      <c r="T4" s="620"/>
      <c r="U4" s="620"/>
      <c r="V4" s="623"/>
      <c r="W4" s="624" t="s">
        <v>152</v>
      </c>
      <c r="X4" s="625"/>
      <c r="Y4" s="625"/>
      <c r="Z4" s="625"/>
      <c r="AA4" s="625"/>
      <c r="AB4" s="625" t="s">
        <v>153</v>
      </c>
      <c r="AC4" s="625"/>
      <c r="AD4" s="625"/>
      <c r="AE4" s="625"/>
      <c r="AF4" s="626"/>
      <c r="AG4" s="616"/>
      <c r="AH4" s="617"/>
      <c r="AI4" s="617"/>
      <c r="AJ4" s="617"/>
      <c r="AK4" s="618"/>
    </row>
    <row r="5" spans="1:37" ht="12.75" customHeight="1">
      <c r="A5" s="600"/>
      <c r="B5" s="603"/>
      <c r="C5" s="609" t="s">
        <v>154</v>
      </c>
      <c r="D5" s="592" t="s">
        <v>141</v>
      </c>
      <c r="E5" s="592"/>
      <c r="F5" s="592"/>
      <c r="G5" s="590" t="s">
        <v>47</v>
      </c>
      <c r="H5" s="597" t="s">
        <v>154</v>
      </c>
      <c r="I5" s="592" t="s">
        <v>141</v>
      </c>
      <c r="J5" s="592"/>
      <c r="K5" s="592"/>
      <c r="L5" s="590" t="s">
        <v>47</v>
      </c>
      <c r="M5" s="597" t="s">
        <v>154</v>
      </c>
      <c r="N5" s="592" t="s">
        <v>141</v>
      </c>
      <c r="O5" s="592"/>
      <c r="P5" s="592"/>
      <c r="Q5" s="590" t="s">
        <v>47</v>
      </c>
      <c r="R5" s="597" t="s">
        <v>154</v>
      </c>
      <c r="S5" s="592" t="s">
        <v>141</v>
      </c>
      <c r="T5" s="592"/>
      <c r="U5" s="592"/>
      <c r="V5" s="598" t="s">
        <v>47</v>
      </c>
      <c r="W5" s="595" t="s">
        <v>185</v>
      </c>
      <c r="X5" s="592" t="s">
        <v>141</v>
      </c>
      <c r="Y5" s="592"/>
      <c r="Z5" s="592"/>
      <c r="AA5" s="592" t="s">
        <v>47</v>
      </c>
      <c r="AB5" s="594" t="s">
        <v>185</v>
      </c>
      <c r="AC5" s="592" t="s">
        <v>141</v>
      </c>
      <c r="AD5" s="592"/>
      <c r="AE5" s="592"/>
      <c r="AF5" s="590" t="s">
        <v>47</v>
      </c>
      <c r="AG5" s="595" t="s">
        <v>185</v>
      </c>
      <c r="AH5" s="592" t="s">
        <v>141</v>
      </c>
      <c r="AI5" s="592"/>
      <c r="AJ5" s="592"/>
      <c r="AK5" s="590" t="s">
        <v>47</v>
      </c>
    </row>
    <row r="6" spans="1:37" ht="12.75" customHeight="1" thickBot="1">
      <c r="A6" s="601"/>
      <c r="B6" s="604"/>
      <c r="C6" s="609"/>
      <c r="D6" s="95" t="s">
        <v>131</v>
      </c>
      <c r="E6" s="95" t="s">
        <v>140</v>
      </c>
      <c r="F6" s="95" t="s">
        <v>47</v>
      </c>
      <c r="G6" s="590"/>
      <c r="H6" s="597"/>
      <c r="I6" s="95" t="s">
        <v>131</v>
      </c>
      <c r="J6" s="95" t="s">
        <v>140</v>
      </c>
      <c r="K6" s="95" t="s">
        <v>47</v>
      </c>
      <c r="L6" s="590"/>
      <c r="M6" s="597"/>
      <c r="N6" s="95" t="s">
        <v>131</v>
      </c>
      <c r="O6" s="95" t="s">
        <v>140</v>
      </c>
      <c r="P6" s="95" t="s">
        <v>47</v>
      </c>
      <c r="Q6" s="590"/>
      <c r="R6" s="597"/>
      <c r="S6" s="95" t="s">
        <v>131</v>
      </c>
      <c r="T6" s="95" t="s">
        <v>140</v>
      </c>
      <c r="U6" s="95" t="s">
        <v>47</v>
      </c>
      <c r="V6" s="598"/>
      <c r="W6" s="596"/>
      <c r="X6" s="241" t="s">
        <v>131</v>
      </c>
      <c r="Y6" s="241" t="s">
        <v>140</v>
      </c>
      <c r="Z6" s="241" t="s">
        <v>47</v>
      </c>
      <c r="AA6" s="593"/>
      <c r="AB6" s="593"/>
      <c r="AC6" s="241" t="s">
        <v>131</v>
      </c>
      <c r="AD6" s="241" t="s">
        <v>140</v>
      </c>
      <c r="AE6" s="241" t="s">
        <v>47</v>
      </c>
      <c r="AF6" s="591"/>
      <c r="AG6" s="596"/>
      <c r="AH6" s="241" t="s">
        <v>131</v>
      </c>
      <c r="AI6" s="241" t="s">
        <v>140</v>
      </c>
      <c r="AJ6" s="241" t="s">
        <v>47</v>
      </c>
      <c r="AK6" s="591"/>
    </row>
    <row r="7" spans="1:37" ht="18" customHeight="1">
      <c r="A7" s="250">
        <v>1</v>
      </c>
      <c r="B7" s="251" t="s">
        <v>21</v>
      </c>
      <c r="C7" s="225"/>
      <c r="D7" s="106"/>
      <c r="E7" s="218"/>
      <c r="F7" s="218"/>
      <c r="G7" s="230"/>
      <c r="H7" s="229"/>
      <c r="I7" s="106"/>
      <c r="J7" s="106"/>
      <c r="K7" s="106"/>
      <c r="L7" s="230"/>
      <c r="M7" s="229"/>
      <c r="N7" s="106"/>
      <c r="O7" s="95"/>
      <c r="P7" s="95"/>
      <c r="Q7" s="238"/>
      <c r="R7" s="240"/>
      <c r="S7" s="95"/>
      <c r="T7" s="95"/>
      <c r="U7" s="95"/>
      <c r="V7" s="238"/>
      <c r="W7" s="242"/>
      <c r="X7" s="226"/>
      <c r="Y7" s="226"/>
      <c r="Z7" s="226"/>
      <c r="AA7" s="227"/>
      <c r="AB7" s="242"/>
      <c r="AC7" s="226"/>
      <c r="AD7" s="226"/>
      <c r="AE7" s="226"/>
      <c r="AF7" s="227"/>
      <c r="AG7" s="242"/>
      <c r="AH7" s="226"/>
      <c r="AI7" s="226"/>
      <c r="AJ7" s="226"/>
      <c r="AK7" s="227"/>
    </row>
    <row r="8" spans="1:43" ht="18" customHeight="1">
      <c r="A8" s="246">
        <v>2</v>
      </c>
      <c r="B8" s="247" t="s">
        <v>22</v>
      </c>
      <c r="C8" s="220">
        <v>2239333</v>
      </c>
      <c r="D8" s="219">
        <v>13695960</v>
      </c>
      <c r="E8" s="220">
        <v>50667662</v>
      </c>
      <c r="F8" s="219">
        <v>64363622</v>
      </c>
      <c r="G8" s="232">
        <v>66602955</v>
      </c>
      <c r="H8" s="231">
        <f>'Anne-8'!O10</f>
        <v>2136671</v>
      </c>
      <c r="I8" s="219">
        <f>'Anne-7'!N10</f>
        <v>12347592</v>
      </c>
      <c r="J8" s="219">
        <f>'Anne-6'!Z10</f>
        <v>52370066</v>
      </c>
      <c r="K8" s="219">
        <f>SUM(I8:J8)</f>
        <v>64717658</v>
      </c>
      <c r="L8" s="232">
        <f>K8+H8</f>
        <v>66854329</v>
      </c>
      <c r="M8" s="231">
        <v>1848510</v>
      </c>
      <c r="N8" s="219">
        <v>90141</v>
      </c>
      <c r="O8" s="221">
        <v>9290023</v>
      </c>
      <c r="P8" s="219">
        <v>9380164</v>
      </c>
      <c r="Q8" s="232">
        <v>11228674</v>
      </c>
      <c r="R8" s="231">
        <f>'Anne-8'!D10</f>
        <v>1751010</v>
      </c>
      <c r="S8" s="219">
        <f>'Anne-7'!F10</f>
        <v>87158</v>
      </c>
      <c r="T8" s="219">
        <f>'Anne-6'!D10</f>
        <v>9349505</v>
      </c>
      <c r="U8" s="219">
        <f>SUM(S8:T8)</f>
        <v>9436663</v>
      </c>
      <c r="V8" s="232">
        <f>U8+R8</f>
        <v>11187673</v>
      </c>
      <c r="W8" s="231">
        <f>H8-C8</f>
        <v>-102662</v>
      </c>
      <c r="X8" s="219">
        <f>I8-D8</f>
        <v>-1348368</v>
      </c>
      <c r="Y8" s="219">
        <f>J8-E8</f>
        <v>1702404</v>
      </c>
      <c r="Z8" s="219">
        <f>SUM(X8:Y8)</f>
        <v>354036</v>
      </c>
      <c r="AA8" s="232">
        <f>Z8+W8</f>
        <v>251374</v>
      </c>
      <c r="AB8" s="231">
        <f>R8-M8</f>
        <v>-97500</v>
      </c>
      <c r="AC8" s="219">
        <f>S8-N8</f>
        <v>-2983</v>
      </c>
      <c r="AD8" s="219">
        <f>T8-O8</f>
        <v>59482</v>
      </c>
      <c r="AE8" s="219">
        <f>SUM(AC8:AD8)</f>
        <v>56499</v>
      </c>
      <c r="AF8" s="232">
        <f>AE8+AB8</f>
        <v>-41001</v>
      </c>
      <c r="AG8" s="239">
        <f>-(AB8)/W8*100</f>
        <v>-94.97184936977655</v>
      </c>
      <c r="AH8" s="218">
        <f>AC8/X8*100</f>
        <v>0.22123040594259133</v>
      </c>
      <c r="AI8" s="218">
        <f>AD8/Y8*100</f>
        <v>3.494000249059565</v>
      </c>
      <c r="AJ8" s="218">
        <f>AE8/Z8*100</f>
        <v>15.958546588482529</v>
      </c>
      <c r="AK8" s="243">
        <f>AF8/AA8*100</f>
        <v>-16.310756084559262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46">
        <v>3</v>
      </c>
      <c r="B9" s="247" t="s">
        <v>23</v>
      </c>
      <c r="C9" s="220">
        <v>194155</v>
      </c>
      <c r="D9" s="219">
        <v>91663</v>
      </c>
      <c r="E9" s="220">
        <v>14296001</v>
      </c>
      <c r="F9" s="219">
        <v>14387664</v>
      </c>
      <c r="G9" s="232">
        <v>14581819</v>
      </c>
      <c r="H9" s="231">
        <f>'Anne-8'!O11</f>
        <v>192224</v>
      </c>
      <c r="I9" s="219">
        <f>'Anne-7'!N11</f>
        <v>95649</v>
      </c>
      <c r="J9" s="219">
        <f>'Anne-6'!Z11</f>
        <v>14567632</v>
      </c>
      <c r="K9" s="219">
        <f aca="true" t="shared" si="0" ref="K9:K35">SUM(I9:J9)</f>
        <v>14663281</v>
      </c>
      <c r="L9" s="232">
        <f aca="true" t="shared" si="1" ref="L9:L35">K9+H9</f>
        <v>14855505</v>
      </c>
      <c r="M9" s="231">
        <v>193915</v>
      </c>
      <c r="N9" s="219">
        <v>91663</v>
      </c>
      <c r="O9" s="221">
        <v>1144499</v>
      </c>
      <c r="P9" s="219">
        <v>1236162</v>
      </c>
      <c r="Q9" s="232">
        <v>1430077</v>
      </c>
      <c r="R9" s="231">
        <f>'Anne-8'!D11</f>
        <v>191564</v>
      </c>
      <c r="S9" s="219">
        <f>'Anne-7'!F11</f>
        <v>95649</v>
      </c>
      <c r="T9" s="219">
        <f>'Anne-6'!D11</f>
        <v>1153377</v>
      </c>
      <c r="U9" s="219">
        <f aca="true" t="shared" si="2" ref="U9:U32">SUM(S9:T9)</f>
        <v>1249026</v>
      </c>
      <c r="V9" s="232">
        <f aca="true" t="shared" si="3" ref="V9:V32">U9+R9</f>
        <v>1440590</v>
      </c>
      <c r="W9" s="231">
        <f aca="true" t="shared" si="4" ref="W9:Y35">H9-C9</f>
        <v>-1931</v>
      </c>
      <c r="X9" s="219">
        <f t="shared" si="4"/>
        <v>3986</v>
      </c>
      <c r="Y9" s="219">
        <f t="shared" si="4"/>
        <v>271631</v>
      </c>
      <c r="Z9" s="219">
        <f aca="true" t="shared" si="5" ref="Z9:Z32">SUM(X9:Y9)</f>
        <v>275617</v>
      </c>
      <c r="AA9" s="232">
        <f aca="true" t="shared" si="6" ref="AA9:AA32">Z9+W9</f>
        <v>273686</v>
      </c>
      <c r="AB9" s="231">
        <f aca="true" t="shared" si="7" ref="AB9:AD32">R9-M9</f>
        <v>-2351</v>
      </c>
      <c r="AC9" s="219">
        <f t="shared" si="7"/>
        <v>3986</v>
      </c>
      <c r="AD9" s="219">
        <f t="shared" si="7"/>
        <v>8878</v>
      </c>
      <c r="AE9" s="219">
        <f aca="true" t="shared" si="8" ref="AE9:AE32">SUM(AC9:AD9)</f>
        <v>12864</v>
      </c>
      <c r="AF9" s="232">
        <f aca="true" t="shared" si="9" ref="AF9:AF32">AE9+AB9</f>
        <v>10513</v>
      </c>
      <c r="AG9" s="239">
        <f aca="true" t="shared" si="10" ref="AG9:AG36">-(AB9)/W9*100</f>
        <v>-121.75038839979287</v>
      </c>
      <c r="AH9" s="218">
        <f aca="true" t="shared" si="11" ref="AH9:AK36">AC9/X9*100</f>
        <v>100</v>
      </c>
      <c r="AI9" s="218">
        <f t="shared" si="11"/>
        <v>3.268404563543925</v>
      </c>
      <c r="AJ9" s="218">
        <f t="shared" si="11"/>
        <v>4.667346353817072</v>
      </c>
      <c r="AK9" s="486" t="s">
        <v>130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46">
        <v>4</v>
      </c>
      <c r="B10" s="247" t="s">
        <v>24</v>
      </c>
      <c r="C10" s="220">
        <v>394129</v>
      </c>
      <c r="D10" s="219">
        <v>7510011</v>
      </c>
      <c r="E10" s="220">
        <v>52791848</v>
      </c>
      <c r="F10" s="219">
        <v>60301859</v>
      </c>
      <c r="G10" s="232">
        <v>60695988</v>
      </c>
      <c r="H10" s="231">
        <f>'Anne-8'!O12</f>
        <v>389302</v>
      </c>
      <c r="I10" s="219">
        <f>'Anne-7'!N12</f>
        <v>6414458</v>
      </c>
      <c r="J10" s="219">
        <f>'Anne-6'!Z12</f>
        <v>51907281</v>
      </c>
      <c r="K10" s="219">
        <f t="shared" si="0"/>
        <v>58321739</v>
      </c>
      <c r="L10" s="232">
        <f t="shared" si="1"/>
        <v>58711041</v>
      </c>
      <c r="M10" s="231">
        <v>378374</v>
      </c>
      <c r="N10" s="219">
        <v>216532</v>
      </c>
      <c r="O10" s="221">
        <v>5690559</v>
      </c>
      <c r="P10" s="219">
        <v>5907091</v>
      </c>
      <c r="Q10" s="232">
        <v>6285465</v>
      </c>
      <c r="R10" s="231">
        <f>'Anne-8'!D12</f>
        <v>372808</v>
      </c>
      <c r="S10" s="219">
        <f>'Anne-7'!F12</f>
        <v>214798</v>
      </c>
      <c r="T10" s="219">
        <f>'Anne-6'!D12</f>
        <v>3510198</v>
      </c>
      <c r="U10" s="219">
        <f t="shared" si="2"/>
        <v>3724996</v>
      </c>
      <c r="V10" s="232">
        <f t="shared" si="3"/>
        <v>4097804</v>
      </c>
      <c r="W10" s="231">
        <f t="shared" si="4"/>
        <v>-4827</v>
      </c>
      <c r="X10" s="219">
        <f t="shared" si="4"/>
        <v>-1095553</v>
      </c>
      <c r="Y10" s="219">
        <f t="shared" si="4"/>
        <v>-884567</v>
      </c>
      <c r="Z10" s="219">
        <f t="shared" si="5"/>
        <v>-1980120</v>
      </c>
      <c r="AA10" s="232">
        <f t="shared" si="6"/>
        <v>-1984947</v>
      </c>
      <c r="AB10" s="231">
        <f t="shared" si="7"/>
        <v>-5566</v>
      </c>
      <c r="AC10" s="219">
        <f t="shared" si="7"/>
        <v>-1734</v>
      </c>
      <c r="AD10" s="554">
        <f t="shared" si="7"/>
        <v>-2180361</v>
      </c>
      <c r="AE10" s="219">
        <f t="shared" si="8"/>
        <v>-2182095</v>
      </c>
      <c r="AF10" s="232">
        <f t="shared" si="9"/>
        <v>-2187661</v>
      </c>
      <c r="AG10" s="239">
        <f t="shared" si="10"/>
        <v>-115.30971617982185</v>
      </c>
      <c r="AH10" s="218">
        <f t="shared" si="11"/>
        <v>0.1582762312731561</v>
      </c>
      <c r="AI10" s="218">
        <f t="shared" si="11"/>
        <v>246.48907318495944</v>
      </c>
      <c r="AJ10" s="218">
        <f t="shared" si="11"/>
        <v>110.20013938549178</v>
      </c>
      <c r="AK10" s="558">
        <f t="shared" si="11"/>
        <v>110.21256486949022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46">
        <v>5</v>
      </c>
      <c r="B11" s="247" t="s">
        <v>25</v>
      </c>
      <c r="C11" s="220">
        <v>0</v>
      </c>
      <c r="D11" s="219">
        <v>0</v>
      </c>
      <c r="E11" s="220">
        <v>0</v>
      </c>
      <c r="F11" s="219">
        <v>0</v>
      </c>
      <c r="G11" s="232">
        <v>0</v>
      </c>
      <c r="H11" s="231">
        <f>'Anne-8'!O13</f>
        <v>0</v>
      </c>
      <c r="I11" s="219">
        <f>'Anne-7'!N13</f>
        <v>0</v>
      </c>
      <c r="J11" s="219">
        <f>'Anne-6'!Z13</f>
        <v>0</v>
      </c>
      <c r="K11" s="219">
        <f t="shared" si="0"/>
        <v>0</v>
      </c>
      <c r="L11" s="232">
        <f t="shared" si="1"/>
        <v>0</v>
      </c>
      <c r="M11" s="231">
        <v>0</v>
      </c>
      <c r="N11" s="219">
        <v>0</v>
      </c>
      <c r="O11" s="221">
        <v>0</v>
      </c>
      <c r="P11" s="219">
        <v>0</v>
      </c>
      <c r="Q11" s="232">
        <v>0</v>
      </c>
      <c r="R11" s="231">
        <f>'Anne-8'!D13</f>
        <v>0</v>
      </c>
      <c r="S11" s="219">
        <f>'Anne-7'!F13</f>
        <v>0</v>
      </c>
      <c r="T11" s="219">
        <f>'Anne-6'!D13</f>
        <v>0</v>
      </c>
      <c r="U11" s="219">
        <f t="shared" si="2"/>
        <v>0</v>
      </c>
      <c r="V11" s="232">
        <f t="shared" si="3"/>
        <v>0</v>
      </c>
      <c r="W11" s="231">
        <f t="shared" si="4"/>
        <v>0</v>
      </c>
      <c r="X11" s="219">
        <f t="shared" si="4"/>
        <v>0</v>
      </c>
      <c r="Y11" s="219">
        <f t="shared" si="4"/>
        <v>0</v>
      </c>
      <c r="Z11" s="219">
        <f t="shared" si="5"/>
        <v>0</v>
      </c>
      <c r="AA11" s="232">
        <f t="shared" si="6"/>
        <v>0</v>
      </c>
      <c r="AB11" s="231">
        <f t="shared" si="7"/>
        <v>0</v>
      </c>
      <c r="AC11" s="219">
        <f t="shared" si="7"/>
        <v>0</v>
      </c>
      <c r="AD11" s="219">
        <f t="shared" si="7"/>
        <v>0</v>
      </c>
      <c r="AE11" s="219">
        <f t="shared" si="8"/>
        <v>0</v>
      </c>
      <c r="AF11" s="232">
        <f t="shared" si="9"/>
        <v>0</v>
      </c>
      <c r="AG11" s="239"/>
      <c r="AH11" s="218"/>
      <c r="AI11" s="218"/>
      <c r="AJ11" s="218"/>
      <c r="AK11" s="243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46">
        <v>6</v>
      </c>
      <c r="B12" s="247" t="s">
        <v>26</v>
      </c>
      <c r="C12" s="220">
        <v>1792000</v>
      </c>
      <c r="D12" s="219">
        <v>10143980</v>
      </c>
      <c r="E12" s="220">
        <v>41549384</v>
      </c>
      <c r="F12" s="219">
        <v>51693364</v>
      </c>
      <c r="G12" s="232">
        <v>53485364</v>
      </c>
      <c r="H12" s="231">
        <f>'Anne-8'!O14</f>
        <v>1722532</v>
      </c>
      <c r="I12" s="219">
        <f>'Anne-7'!N14</f>
        <v>11731282</v>
      </c>
      <c r="J12" s="219">
        <f>'Anne-6'!Z14</f>
        <v>42530510</v>
      </c>
      <c r="K12" s="219">
        <f t="shared" si="0"/>
        <v>54261792</v>
      </c>
      <c r="L12" s="232">
        <f t="shared" si="1"/>
        <v>55984324</v>
      </c>
      <c r="M12" s="231">
        <v>1565727</v>
      </c>
      <c r="N12" s="219">
        <v>119315</v>
      </c>
      <c r="O12" s="221">
        <v>4179707</v>
      </c>
      <c r="P12" s="219">
        <v>4299022</v>
      </c>
      <c r="Q12" s="232">
        <v>5864749</v>
      </c>
      <c r="R12" s="231">
        <f>'Anne-8'!D14</f>
        <v>1496328</v>
      </c>
      <c r="S12" s="219">
        <f>'Anne-7'!F14</f>
        <v>109037</v>
      </c>
      <c r="T12" s="219">
        <f>'Anne-6'!D14</f>
        <v>4218468</v>
      </c>
      <c r="U12" s="219">
        <f t="shared" si="2"/>
        <v>4327505</v>
      </c>
      <c r="V12" s="232">
        <f t="shared" si="3"/>
        <v>5823833</v>
      </c>
      <c r="W12" s="231">
        <f t="shared" si="4"/>
        <v>-69468</v>
      </c>
      <c r="X12" s="219">
        <f t="shared" si="4"/>
        <v>1587302</v>
      </c>
      <c r="Y12" s="219">
        <f t="shared" si="4"/>
        <v>981126</v>
      </c>
      <c r="Z12" s="219">
        <f t="shared" si="5"/>
        <v>2568428</v>
      </c>
      <c r="AA12" s="232">
        <f t="shared" si="6"/>
        <v>2498960</v>
      </c>
      <c r="AB12" s="231">
        <f t="shared" si="7"/>
        <v>-69399</v>
      </c>
      <c r="AC12" s="219">
        <f t="shared" si="7"/>
        <v>-10278</v>
      </c>
      <c r="AD12" s="219">
        <f t="shared" si="7"/>
        <v>38761</v>
      </c>
      <c r="AE12" s="219">
        <f t="shared" si="8"/>
        <v>28483</v>
      </c>
      <c r="AF12" s="232">
        <f t="shared" si="9"/>
        <v>-40916</v>
      </c>
      <c r="AG12" s="239">
        <f t="shared" si="10"/>
        <v>-99.90067369148385</v>
      </c>
      <c r="AH12" s="218">
        <f t="shared" si="11"/>
        <v>-0.6475138316464037</v>
      </c>
      <c r="AI12" s="218">
        <f t="shared" si="11"/>
        <v>3.9506648483477145</v>
      </c>
      <c r="AJ12" s="218">
        <f t="shared" si="11"/>
        <v>1.1089662626322403</v>
      </c>
      <c r="AK12" s="243">
        <f t="shared" si="11"/>
        <v>-1.6373211255882445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46">
        <v>7</v>
      </c>
      <c r="B13" s="247" t="s">
        <v>27</v>
      </c>
      <c r="C13" s="220">
        <v>560474</v>
      </c>
      <c r="D13" s="219">
        <v>4934119</v>
      </c>
      <c r="E13" s="220">
        <v>14609470</v>
      </c>
      <c r="F13" s="219">
        <v>19543589</v>
      </c>
      <c r="G13" s="232">
        <v>20104063</v>
      </c>
      <c r="H13" s="231">
        <f>'Anne-8'!O15</f>
        <v>522754</v>
      </c>
      <c r="I13" s="219">
        <f>'Anne-7'!N15</f>
        <v>4792434</v>
      </c>
      <c r="J13" s="219">
        <f>'Anne-6'!Z15</f>
        <v>15108612</v>
      </c>
      <c r="K13" s="219">
        <f t="shared" si="0"/>
        <v>19901046</v>
      </c>
      <c r="L13" s="232">
        <f t="shared" si="1"/>
        <v>20423800</v>
      </c>
      <c r="M13" s="231">
        <v>504057</v>
      </c>
      <c r="N13" s="219">
        <v>20731</v>
      </c>
      <c r="O13" s="221">
        <v>3089520</v>
      </c>
      <c r="P13" s="219">
        <v>3110251</v>
      </c>
      <c r="Q13" s="232">
        <v>3614308</v>
      </c>
      <c r="R13" s="231">
        <f>'Anne-8'!D15</f>
        <v>470023</v>
      </c>
      <c r="S13" s="219">
        <f>'Anne-7'!F15</f>
        <v>18550</v>
      </c>
      <c r="T13" s="219">
        <f>'Anne-6'!D15</f>
        <v>3065505</v>
      </c>
      <c r="U13" s="219">
        <f t="shared" si="2"/>
        <v>3084055</v>
      </c>
      <c r="V13" s="232">
        <f t="shared" si="3"/>
        <v>3554078</v>
      </c>
      <c r="W13" s="231">
        <f t="shared" si="4"/>
        <v>-37720</v>
      </c>
      <c r="X13" s="219">
        <f t="shared" si="4"/>
        <v>-141685</v>
      </c>
      <c r="Y13" s="219">
        <f t="shared" si="4"/>
        <v>499142</v>
      </c>
      <c r="Z13" s="219">
        <f t="shared" si="5"/>
        <v>357457</v>
      </c>
      <c r="AA13" s="232">
        <f t="shared" si="6"/>
        <v>319737</v>
      </c>
      <c r="AB13" s="231">
        <f t="shared" si="7"/>
        <v>-34034</v>
      </c>
      <c r="AC13" s="219">
        <f t="shared" si="7"/>
        <v>-2181</v>
      </c>
      <c r="AD13" s="219">
        <f t="shared" si="7"/>
        <v>-24015</v>
      </c>
      <c r="AE13" s="219">
        <f t="shared" si="8"/>
        <v>-26196</v>
      </c>
      <c r="AF13" s="232">
        <f t="shared" si="9"/>
        <v>-60230</v>
      </c>
      <c r="AG13" s="239">
        <f>-(AB13)/W13*100</f>
        <v>-90.22799575821846</v>
      </c>
      <c r="AH13" s="218">
        <f t="shared" si="11"/>
        <v>1.539330204326499</v>
      </c>
      <c r="AI13" s="218">
        <f t="shared" si="11"/>
        <v>-4.811256115494188</v>
      </c>
      <c r="AJ13" s="218">
        <f t="shared" si="11"/>
        <v>-7.3284339095331745</v>
      </c>
      <c r="AK13" s="486" t="s">
        <v>130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46">
        <v>8</v>
      </c>
      <c r="B14" s="247" t="s">
        <v>28</v>
      </c>
      <c r="C14" s="220">
        <v>280669</v>
      </c>
      <c r="D14" s="219">
        <v>235471</v>
      </c>
      <c r="E14" s="220">
        <v>6779872</v>
      </c>
      <c r="F14" s="219">
        <v>7015343</v>
      </c>
      <c r="G14" s="232">
        <v>7296012</v>
      </c>
      <c r="H14" s="231">
        <f>'Anne-8'!O16</f>
        <v>264003</v>
      </c>
      <c r="I14" s="219">
        <f>'Anne-7'!N16</f>
        <v>203399</v>
      </c>
      <c r="J14" s="219">
        <f>'Anne-6'!Z16</f>
        <v>6828147</v>
      </c>
      <c r="K14" s="219">
        <f t="shared" si="0"/>
        <v>7031546</v>
      </c>
      <c r="L14" s="232">
        <f t="shared" si="1"/>
        <v>7295549</v>
      </c>
      <c r="M14" s="231">
        <v>273941</v>
      </c>
      <c r="N14" s="219">
        <v>57959</v>
      </c>
      <c r="O14" s="221">
        <v>1576204</v>
      </c>
      <c r="P14" s="219">
        <v>1634163</v>
      </c>
      <c r="Q14" s="232">
        <v>1908104</v>
      </c>
      <c r="R14" s="231">
        <f>'Anne-8'!D16</f>
        <v>256824</v>
      </c>
      <c r="S14" s="219">
        <f>'Anne-7'!F16</f>
        <v>53943</v>
      </c>
      <c r="T14" s="219">
        <f>'Anne-6'!D16</f>
        <v>1481202</v>
      </c>
      <c r="U14" s="219">
        <f t="shared" si="2"/>
        <v>1535145</v>
      </c>
      <c r="V14" s="232">
        <f t="shared" si="3"/>
        <v>1791969</v>
      </c>
      <c r="W14" s="231">
        <f t="shared" si="4"/>
        <v>-16666</v>
      </c>
      <c r="X14" s="219">
        <f t="shared" si="4"/>
        <v>-32072</v>
      </c>
      <c r="Y14" s="219">
        <f t="shared" si="4"/>
        <v>48275</v>
      </c>
      <c r="Z14" s="219">
        <f t="shared" si="5"/>
        <v>16203</v>
      </c>
      <c r="AA14" s="232">
        <f t="shared" si="6"/>
        <v>-463</v>
      </c>
      <c r="AB14" s="231">
        <f t="shared" si="7"/>
        <v>-17117</v>
      </c>
      <c r="AC14" s="219">
        <f t="shared" si="7"/>
        <v>-4016</v>
      </c>
      <c r="AD14" s="219">
        <f t="shared" si="7"/>
        <v>-95002</v>
      </c>
      <c r="AE14" s="219">
        <f t="shared" si="8"/>
        <v>-99018</v>
      </c>
      <c r="AF14" s="232">
        <f t="shared" si="9"/>
        <v>-116135</v>
      </c>
      <c r="AG14" s="239">
        <f t="shared" si="10"/>
        <v>-102.70610824432977</v>
      </c>
      <c r="AH14" s="218">
        <f t="shared" si="11"/>
        <v>12.521825891743577</v>
      </c>
      <c r="AI14" s="218">
        <f t="shared" si="11"/>
        <v>-196.79337131020196</v>
      </c>
      <c r="AJ14" s="218">
        <f t="shared" si="11"/>
        <v>-611.1090538789113</v>
      </c>
      <c r="AK14" s="526" t="s">
        <v>130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46">
        <v>9</v>
      </c>
      <c r="B15" s="247" t="s">
        <v>29</v>
      </c>
      <c r="C15" s="220">
        <v>196811</v>
      </c>
      <c r="D15" s="219">
        <v>694581</v>
      </c>
      <c r="E15" s="220">
        <v>6150026</v>
      </c>
      <c r="F15" s="219">
        <v>6844607</v>
      </c>
      <c r="G15" s="232">
        <v>7041418</v>
      </c>
      <c r="H15" s="231">
        <f>'Anne-8'!O17</f>
        <v>189774</v>
      </c>
      <c r="I15" s="219">
        <f>'Anne-7'!N17</f>
        <v>738424</v>
      </c>
      <c r="J15" s="219">
        <f>'Anne-6'!Z17</f>
        <v>6669087</v>
      </c>
      <c r="K15" s="219">
        <f t="shared" si="0"/>
        <v>7407511</v>
      </c>
      <c r="L15" s="232">
        <f t="shared" si="1"/>
        <v>7597285</v>
      </c>
      <c r="M15" s="231">
        <v>196811</v>
      </c>
      <c r="N15" s="219">
        <v>69668</v>
      </c>
      <c r="O15" s="221">
        <v>1089835</v>
      </c>
      <c r="P15" s="219">
        <v>1159503</v>
      </c>
      <c r="Q15" s="232">
        <v>1356314</v>
      </c>
      <c r="R15" s="231">
        <f>'Anne-8'!D17</f>
        <v>189774</v>
      </c>
      <c r="S15" s="219">
        <f>'Anne-7'!F17</f>
        <v>65798</v>
      </c>
      <c r="T15" s="219">
        <f>'Anne-6'!D17</f>
        <v>1166603</v>
      </c>
      <c r="U15" s="219">
        <f t="shared" si="2"/>
        <v>1232401</v>
      </c>
      <c r="V15" s="232">
        <f t="shared" si="3"/>
        <v>1422175</v>
      </c>
      <c r="W15" s="231">
        <f t="shared" si="4"/>
        <v>-7037</v>
      </c>
      <c r="X15" s="219">
        <f t="shared" si="4"/>
        <v>43843</v>
      </c>
      <c r="Y15" s="219">
        <f t="shared" si="4"/>
        <v>519061</v>
      </c>
      <c r="Z15" s="219">
        <f t="shared" si="5"/>
        <v>562904</v>
      </c>
      <c r="AA15" s="232">
        <f t="shared" si="6"/>
        <v>555867</v>
      </c>
      <c r="AB15" s="231">
        <f t="shared" si="7"/>
        <v>-7037</v>
      </c>
      <c r="AC15" s="219">
        <f t="shared" si="7"/>
        <v>-3870</v>
      </c>
      <c r="AD15" s="219">
        <f t="shared" si="7"/>
        <v>76768</v>
      </c>
      <c r="AE15" s="219">
        <f t="shared" si="8"/>
        <v>72898</v>
      </c>
      <c r="AF15" s="232">
        <f t="shared" si="9"/>
        <v>65861</v>
      </c>
      <c r="AG15" s="239">
        <f t="shared" si="10"/>
        <v>-100</v>
      </c>
      <c r="AH15" s="218">
        <f t="shared" si="11"/>
        <v>-8.826950710489703</v>
      </c>
      <c r="AI15" s="218">
        <f t="shared" si="11"/>
        <v>14.789783859700497</v>
      </c>
      <c r="AJ15" s="218">
        <f t="shared" si="11"/>
        <v>12.950343220158322</v>
      </c>
      <c r="AK15" s="243">
        <f t="shared" si="11"/>
        <v>11.84833782181709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46">
        <v>10</v>
      </c>
      <c r="B16" s="247" t="s">
        <v>30</v>
      </c>
      <c r="C16" s="220">
        <v>0</v>
      </c>
      <c r="D16" s="219">
        <v>0</v>
      </c>
      <c r="E16" s="220">
        <v>0</v>
      </c>
      <c r="F16" s="219">
        <v>0</v>
      </c>
      <c r="G16" s="232">
        <v>0</v>
      </c>
      <c r="H16" s="231">
        <f>'Anne-8'!O18</f>
        <v>0</v>
      </c>
      <c r="I16" s="219">
        <f>'Anne-7'!N18</f>
        <v>0</v>
      </c>
      <c r="J16" s="219">
        <f>'Anne-6'!Z18</f>
        <v>0</v>
      </c>
      <c r="K16" s="219">
        <f t="shared" si="0"/>
        <v>0</v>
      </c>
      <c r="L16" s="232">
        <f t="shared" si="1"/>
        <v>0</v>
      </c>
      <c r="M16" s="231">
        <v>0</v>
      </c>
      <c r="N16" s="219">
        <v>0</v>
      </c>
      <c r="O16" s="221">
        <v>0</v>
      </c>
      <c r="P16" s="219">
        <v>0</v>
      </c>
      <c r="Q16" s="232">
        <v>0</v>
      </c>
      <c r="R16" s="231">
        <f>'Anne-8'!D18</f>
        <v>0</v>
      </c>
      <c r="S16" s="219">
        <f>'Anne-7'!F18</f>
        <v>0</v>
      </c>
      <c r="T16" s="219">
        <f>'Anne-6'!D18</f>
        <v>0</v>
      </c>
      <c r="U16" s="219">
        <f t="shared" si="2"/>
        <v>0</v>
      </c>
      <c r="V16" s="232">
        <f t="shared" si="3"/>
        <v>0</v>
      </c>
      <c r="W16" s="231">
        <f t="shared" si="4"/>
        <v>0</v>
      </c>
      <c r="X16" s="219">
        <f t="shared" si="4"/>
        <v>0</v>
      </c>
      <c r="Y16" s="219">
        <f t="shared" si="4"/>
        <v>0</v>
      </c>
      <c r="Z16" s="219">
        <f t="shared" si="5"/>
        <v>0</v>
      </c>
      <c r="AA16" s="232">
        <f t="shared" si="6"/>
        <v>0</v>
      </c>
      <c r="AB16" s="231">
        <f t="shared" si="7"/>
        <v>0</v>
      </c>
      <c r="AC16" s="219">
        <f t="shared" si="7"/>
        <v>0</v>
      </c>
      <c r="AD16" s="219">
        <f t="shared" si="7"/>
        <v>0</v>
      </c>
      <c r="AE16" s="219">
        <f t="shared" si="8"/>
        <v>0</v>
      </c>
      <c r="AF16" s="232">
        <f t="shared" si="9"/>
        <v>0</v>
      </c>
      <c r="AG16" s="239"/>
      <c r="AH16" s="218"/>
      <c r="AI16" s="218"/>
      <c r="AJ16" s="218"/>
      <c r="AK16" s="243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46">
        <v>11</v>
      </c>
      <c r="B17" s="247" t="s">
        <v>31</v>
      </c>
      <c r="C17" s="220">
        <v>2443214</v>
      </c>
      <c r="D17" s="219">
        <v>14965866</v>
      </c>
      <c r="E17" s="220">
        <v>37948923</v>
      </c>
      <c r="F17" s="219">
        <v>52914789</v>
      </c>
      <c r="G17" s="232">
        <v>55358003</v>
      </c>
      <c r="H17" s="231">
        <f>'Anne-8'!O19</f>
        <v>2371110</v>
      </c>
      <c r="I17" s="219">
        <f>'Anne-7'!N19</f>
        <v>14198094</v>
      </c>
      <c r="J17" s="219">
        <f>'Anne-6'!Z19</f>
        <v>39228758</v>
      </c>
      <c r="K17" s="219">
        <f t="shared" si="0"/>
        <v>53426852</v>
      </c>
      <c r="L17" s="232">
        <f t="shared" si="1"/>
        <v>55797962</v>
      </c>
      <c r="M17" s="231">
        <v>1691273</v>
      </c>
      <c r="N17" s="219">
        <v>175759</v>
      </c>
      <c r="O17" s="221">
        <v>6951224</v>
      </c>
      <c r="P17" s="219">
        <v>7126983</v>
      </c>
      <c r="Q17" s="232">
        <v>8818256</v>
      </c>
      <c r="R17" s="231">
        <f>'Anne-8'!D19</f>
        <v>1613635</v>
      </c>
      <c r="S17" s="219">
        <f>'Anne-7'!F19</f>
        <v>145763</v>
      </c>
      <c r="T17" s="219">
        <f>'Anne-6'!D19</f>
        <v>6955768</v>
      </c>
      <c r="U17" s="219">
        <f t="shared" si="2"/>
        <v>7101531</v>
      </c>
      <c r="V17" s="232">
        <f t="shared" si="3"/>
        <v>8715166</v>
      </c>
      <c r="W17" s="231">
        <f t="shared" si="4"/>
        <v>-72104</v>
      </c>
      <c r="X17" s="219">
        <f t="shared" si="4"/>
        <v>-767772</v>
      </c>
      <c r="Y17" s="219">
        <f t="shared" si="4"/>
        <v>1279835</v>
      </c>
      <c r="Z17" s="219">
        <f t="shared" si="5"/>
        <v>512063</v>
      </c>
      <c r="AA17" s="232">
        <f t="shared" si="6"/>
        <v>439959</v>
      </c>
      <c r="AB17" s="231">
        <f t="shared" si="7"/>
        <v>-77638</v>
      </c>
      <c r="AC17" s="219">
        <f t="shared" si="7"/>
        <v>-29996</v>
      </c>
      <c r="AD17" s="219">
        <f t="shared" si="7"/>
        <v>4544</v>
      </c>
      <c r="AE17" s="219">
        <f t="shared" si="8"/>
        <v>-25452</v>
      </c>
      <c r="AF17" s="232">
        <f t="shared" si="9"/>
        <v>-103090</v>
      </c>
      <c r="AG17" s="239">
        <f t="shared" si="10"/>
        <v>-107.67502496394097</v>
      </c>
      <c r="AH17" s="218">
        <f t="shared" si="11"/>
        <v>3.9068890243457695</v>
      </c>
      <c r="AI17" s="219">
        <f t="shared" si="11"/>
        <v>0.35504576761848206</v>
      </c>
      <c r="AJ17" s="218">
        <f t="shared" si="11"/>
        <v>-4.970482147704482</v>
      </c>
      <c r="AK17" s="243">
        <f t="shared" si="11"/>
        <v>-23.4317288656443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46">
        <v>12</v>
      </c>
      <c r="B18" s="247" t="s">
        <v>32</v>
      </c>
      <c r="C18" s="220">
        <v>3064818</v>
      </c>
      <c r="D18" s="219">
        <v>5526180</v>
      </c>
      <c r="E18" s="220">
        <v>25166488</v>
      </c>
      <c r="F18" s="219">
        <v>30692668</v>
      </c>
      <c r="G18" s="232">
        <v>33757486</v>
      </c>
      <c r="H18" s="231">
        <f>'Anne-8'!O20</f>
        <v>2985010</v>
      </c>
      <c r="I18" s="219">
        <f>'Anne-7'!N20</f>
        <v>4682804</v>
      </c>
      <c r="J18" s="219">
        <f>'Anne-6'!Z20</f>
        <v>26317262</v>
      </c>
      <c r="K18" s="219">
        <f t="shared" si="0"/>
        <v>31000066</v>
      </c>
      <c r="L18" s="232">
        <f t="shared" si="1"/>
        <v>33985076</v>
      </c>
      <c r="M18" s="231">
        <v>2943505</v>
      </c>
      <c r="N18" s="219">
        <v>287469</v>
      </c>
      <c r="O18" s="221">
        <v>7435687</v>
      </c>
      <c r="P18" s="219">
        <v>7723156</v>
      </c>
      <c r="Q18" s="232">
        <v>10666661</v>
      </c>
      <c r="R18" s="231">
        <f>'Anne-8'!D20</f>
        <v>2871487</v>
      </c>
      <c r="S18" s="219">
        <f>'Anne-7'!F20</f>
        <v>260649</v>
      </c>
      <c r="T18" s="219">
        <f>'Anne-6'!D20</f>
        <v>7756318</v>
      </c>
      <c r="U18" s="219">
        <f t="shared" si="2"/>
        <v>8016967</v>
      </c>
      <c r="V18" s="232">
        <f t="shared" si="3"/>
        <v>10888454</v>
      </c>
      <c r="W18" s="231">
        <f t="shared" si="4"/>
        <v>-79808</v>
      </c>
      <c r="X18" s="219">
        <f t="shared" si="4"/>
        <v>-843376</v>
      </c>
      <c r="Y18" s="219">
        <f t="shared" si="4"/>
        <v>1150774</v>
      </c>
      <c r="Z18" s="219">
        <f t="shared" si="5"/>
        <v>307398</v>
      </c>
      <c r="AA18" s="232">
        <f t="shared" si="6"/>
        <v>227590</v>
      </c>
      <c r="AB18" s="231">
        <f t="shared" si="7"/>
        <v>-72018</v>
      </c>
      <c r="AC18" s="219">
        <f t="shared" si="7"/>
        <v>-26820</v>
      </c>
      <c r="AD18" s="219">
        <f t="shared" si="7"/>
        <v>320631</v>
      </c>
      <c r="AE18" s="219">
        <f t="shared" si="8"/>
        <v>293811</v>
      </c>
      <c r="AF18" s="232">
        <f t="shared" si="9"/>
        <v>221793</v>
      </c>
      <c r="AG18" s="239">
        <f t="shared" si="10"/>
        <v>-90.23907377706496</v>
      </c>
      <c r="AH18" s="218">
        <f t="shared" si="11"/>
        <v>3.1800762649162415</v>
      </c>
      <c r="AI18" s="218">
        <f t="shared" si="11"/>
        <v>27.862204047015315</v>
      </c>
      <c r="AJ18" s="218">
        <f t="shared" si="11"/>
        <v>95.57999726738625</v>
      </c>
      <c r="AK18" s="486" t="s">
        <v>130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46">
        <v>13</v>
      </c>
      <c r="B19" s="247" t="s">
        <v>33</v>
      </c>
      <c r="C19" s="220">
        <v>1120350</v>
      </c>
      <c r="D19" s="219">
        <v>8050554</v>
      </c>
      <c r="E19" s="220">
        <v>44113738</v>
      </c>
      <c r="F19" s="219">
        <v>52164292</v>
      </c>
      <c r="G19" s="232">
        <v>53284642</v>
      </c>
      <c r="H19" s="231">
        <f>'Anne-8'!O21</f>
        <v>1105016</v>
      </c>
      <c r="I19" s="219">
        <f>'Anne-7'!N21</f>
        <v>16599287</v>
      </c>
      <c r="J19" s="219">
        <f>'Anne-6'!Z21</f>
        <v>45176019</v>
      </c>
      <c r="K19" s="219">
        <f t="shared" si="0"/>
        <v>61775306</v>
      </c>
      <c r="L19" s="232">
        <f t="shared" si="1"/>
        <v>62880322</v>
      </c>
      <c r="M19" s="231">
        <v>835271</v>
      </c>
      <c r="N19" s="219">
        <v>213995</v>
      </c>
      <c r="O19" s="221">
        <v>5030875</v>
      </c>
      <c r="P19" s="219">
        <v>5244870</v>
      </c>
      <c r="Q19" s="232">
        <v>6080141</v>
      </c>
      <c r="R19" s="231">
        <f>'Anne-8'!D21</f>
        <v>830208</v>
      </c>
      <c r="S19" s="219">
        <f>'Anne-7'!F21</f>
        <v>196441</v>
      </c>
      <c r="T19" s="219">
        <f>'Anne-6'!D21</f>
        <v>4953138</v>
      </c>
      <c r="U19" s="219">
        <f t="shared" si="2"/>
        <v>5149579</v>
      </c>
      <c r="V19" s="232">
        <f t="shared" si="3"/>
        <v>5979787</v>
      </c>
      <c r="W19" s="231">
        <f t="shared" si="4"/>
        <v>-15334</v>
      </c>
      <c r="X19" s="219">
        <f t="shared" si="4"/>
        <v>8548733</v>
      </c>
      <c r="Y19" s="219">
        <f t="shared" si="4"/>
        <v>1062281</v>
      </c>
      <c r="Z19" s="219">
        <f t="shared" si="5"/>
        <v>9611014</v>
      </c>
      <c r="AA19" s="232">
        <f t="shared" si="6"/>
        <v>9595680</v>
      </c>
      <c r="AB19" s="231">
        <f t="shared" si="7"/>
        <v>-5063</v>
      </c>
      <c r="AC19" s="219">
        <f t="shared" si="7"/>
        <v>-17554</v>
      </c>
      <c r="AD19" s="219">
        <f t="shared" si="7"/>
        <v>-77737</v>
      </c>
      <c r="AE19" s="219">
        <f t="shared" si="8"/>
        <v>-95291</v>
      </c>
      <c r="AF19" s="232">
        <f t="shared" si="9"/>
        <v>-100354</v>
      </c>
      <c r="AG19" s="239">
        <f t="shared" si="10"/>
        <v>-33.01812964653711</v>
      </c>
      <c r="AH19" s="218">
        <f t="shared" si="11"/>
        <v>-0.20534037032154356</v>
      </c>
      <c r="AI19" s="218">
        <f t="shared" si="11"/>
        <v>-7.317931884313096</v>
      </c>
      <c r="AJ19" s="218">
        <f t="shared" si="11"/>
        <v>-0.9914770699532848</v>
      </c>
      <c r="AK19" s="243">
        <f t="shared" si="11"/>
        <v>-1.0458247878211862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46">
        <v>14</v>
      </c>
      <c r="B20" s="247" t="s">
        <v>34</v>
      </c>
      <c r="C20" s="220">
        <v>2466436</v>
      </c>
      <c r="D20" s="219">
        <v>14977968</v>
      </c>
      <c r="E20" s="220">
        <v>53422397</v>
      </c>
      <c r="F20" s="219">
        <v>68400365</v>
      </c>
      <c r="G20" s="232">
        <v>70866801</v>
      </c>
      <c r="H20" s="231">
        <f>'Anne-8'!O22</f>
        <v>2361824</v>
      </c>
      <c r="I20" s="219">
        <f>'Anne-7'!N22</f>
        <v>13399466</v>
      </c>
      <c r="J20" s="219">
        <f>'Anne-6'!Z22</f>
        <v>55284162</v>
      </c>
      <c r="K20" s="219">
        <f t="shared" si="0"/>
        <v>68683628</v>
      </c>
      <c r="L20" s="232">
        <f t="shared" si="1"/>
        <v>71045452</v>
      </c>
      <c r="M20" s="231">
        <v>2046050</v>
      </c>
      <c r="N20" s="219">
        <v>151694</v>
      </c>
      <c r="O20" s="221">
        <v>6723903</v>
      </c>
      <c r="P20" s="219">
        <v>6875597</v>
      </c>
      <c r="Q20" s="232">
        <v>8921647</v>
      </c>
      <c r="R20" s="231">
        <f>'Anne-8'!D22</f>
        <v>1942678</v>
      </c>
      <c r="S20" s="219">
        <f>'Anne-7'!F22</f>
        <v>135438</v>
      </c>
      <c r="T20" s="219">
        <f>'Anne-6'!D22</f>
        <v>6477014</v>
      </c>
      <c r="U20" s="219">
        <f t="shared" si="2"/>
        <v>6612452</v>
      </c>
      <c r="V20" s="232">
        <f t="shared" si="3"/>
        <v>8555130</v>
      </c>
      <c r="W20" s="231">
        <f t="shared" si="4"/>
        <v>-104612</v>
      </c>
      <c r="X20" s="219">
        <f t="shared" si="4"/>
        <v>-1578502</v>
      </c>
      <c r="Y20" s="219">
        <f t="shared" si="4"/>
        <v>1861765</v>
      </c>
      <c r="Z20" s="219">
        <f t="shared" si="5"/>
        <v>283263</v>
      </c>
      <c r="AA20" s="232">
        <f t="shared" si="6"/>
        <v>178651</v>
      </c>
      <c r="AB20" s="231">
        <f t="shared" si="7"/>
        <v>-103372</v>
      </c>
      <c r="AC20" s="219">
        <f t="shared" si="7"/>
        <v>-16256</v>
      </c>
      <c r="AD20" s="219">
        <f t="shared" si="7"/>
        <v>-246889</v>
      </c>
      <c r="AE20" s="219">
        <f t="shared" si="8"/>
        <v>-263145</v>
      </c>
      <c r="AF20" s="232">
        <f t="shared" si="9"/>
        <v>-366517</v>
      </c>
      <c r="AG20" s="239">
        <f t="shared" si="10"/>
        <v>-98.81466753336137</v>
      </c>
      <c r="AH20" s="218">
        <f t="shared" si="11"/>
        <v>1.029837149398607</v>
      </c>
      <c r="AI20" s="218">
        <f t="shared" si="11"/>
        <v>-13.26101844217718</v>
      </c>
      <c r="AJ20" s="218">
        <f t="shared" si="11"/>
        <v>-92.89776638671482</v>
      </c>
      <c r="AK20" s="486" t="s">
        <v>130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46">
        <v>15</v>
      </c>
      <c r="B21" s="247" t="s">
        <v>35</v>
      </c>
      <c r="C21" s="220">
        <v>189884</v>
      </c>
      <c r="D21" s="219">
        <v>147381</v>
      </c>
      <c r="E21" s="220">
        <v>8813161</v>
      </c>
      <c r="F21" s="219">
        <v>8960542</v>
      </c>
      <c r="G21" s="232">
        <v>9150426</v>
      </c>
      <c r="H21" s="231">
        <f>'Anne-8'!O23</f>
        <v>143447</v>
      </c>
      <c r="I21" s="219">
        <f>'Anne-7'!N23</f>
        <v>151150</v>
      </c>
      <c r="J21" s="219">
        <f>'Anne-6'!Z23</f>
        <v>9228770</v>
      </c>
      <c r="K21" s="219">
        <f t="shared" si="0"/>
        <v>9379920</v>
      </c>
      <c r="L21" s="232">
        <f t="shared" si="1"/>
        <v>9523367</v>
      </c>
      <c r="M21" s="231">
        <v>189884</v>
      </c>
      <c r="N21" s="219">
        <v>147381</v>
      </c>
      <c r="O21" s="221">
        <v>1609217</v>
      </c>
      <c r="P21" s="219">
        <v>1756598</v>
      </c>
      <c r="Q21" s="232">
        <v>1946482</v>
      </c>
      <c r="R21" s="231">
        <f>'Anne-8'!D23</f>
        <v>143447</v>
      </c>
      <c r="S21" s="219">
        <f>'Anne-7'!F23</f>
        <v>151150</v>
      </c>
      <c r="T21" s="219">
        <f>'Anne-6'!D23</f>
        <v>1657849</v>
      </c>
      <c r="U21" s="219">
        <f t="shared" si="2"/>
        <v>1808999</v>
      </c>
      <c r="V21" s="232">
        <f t="shared" si="3"/>
        <v>1952446</v>
      </c>
      <c r="W21" s="231">
        <f t="shared" si="4"/>
        <v>-46437</v>
      </c>
      <c r="X21" s="219">
        <f t="shared" si="4"/>
        <v>3769</v>
      </c>
      <c r="Y21" s="219">
        <f t="shared" si="4"/>
        <v>415609</v>
      </c>
      <c r="Z21" s="219">
        <f t="shared" si="5"/>
        <v>419378</v>
      </c>
      <c r="AA21" s="232">
        <f t="shared" si="6"/>
        <v>372941</v>
      </c>
      <c r="AB21" s="231">
        <f t="shared" si="7"/>
        <v>-46437</v>
      </c>
      <c r="AC21" s="219">
        <f t="shared" si="7"/>
        <v>3769</v>
      </c>
      <c r="AD21" s="219">
        <f t="shared" si="7"/>
        <v>48632</v>
      </c>
      <c r="AE21" s="219">
        <f t="shared" si="8"/>
        <v>52401</v>
      </c>
      <c r="AF21" s="232">
        <f t="shared" si="9"/>
        <v>5964</v>
      </c>
      <c r="AG21" s="239">
        <f t="shared" si="10"/>
        <v>-100</v>
      </c>
      <c r="AH21" s="218">
        <f t="shared" si="11"/>
        <v>100</v>
      </c>
      <c r="AI21" s="218">
        <f t="shared" si="11"/>
        <v>11.701382790074325</v>
      </c>
      <c r="AJ21" s="218">
        <f t="shared" si="11"/>
        <v>12.494932972163538</v>
      </c>
      <c r="AK21" s="243">
        <f t="shared" si="11"/>
        <v>1.5991805674355997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46">
        <v>16</v>
      </c>
      <c r="B22" s="247" t="s">
        <v>36</v>
      </c>
      <c r="C22" s="220">
        <v>0</v>
      </c>
      <c r="D22" s="219">
        <v>0</v>
      </c>
      <c r="E22" s="220">
        <v>0</v>
      </c>
      <c r="F22" s="219">
        <v>0</v>
      </c>
      <c r="G22" s="232">
        <v>0</v>
      </c>
      <c r="H22" s="231">
        <f>'Anne-8'!O24</f>
        <v>0</v>
      </c>
      <c r="I22" s="219">
        <f>'Anne-7'!N24</f>
        <v>0</v>
      </c>
      <c r="J22" s="219">
        <f>'Anne-6'!Z24</f>
        <v>0</v>
      </c>
      <c r="K22" s="219">
        <f t="shared" si="0"/>
        <v>0</v>
      </c>
      <c r="L22" s="232">
        <f t="shared" si="1"/>
        <v>0</v>
      </c>
      <c r="M22" s="231">
        <v>0</v>
      </c>
      <c r="N22" s="219">
        <v>0</v>
      </c>
      <c r="O22" s="221">
        <v>0</v>
      </c>
      <c r="P22" s="219">
        <v>0</v>
      </c>
      <c r="Q22" s="232">
        <v>0</v>
      </c>
      <c r="R22" s="231">
        <f>'Anne-8'!D24</f>
        <v>0</v>
      </c>
      <c r="S22" s="219">
        <f>'Anne-7'!F24</f>
        <v>0</v>
      </c>
      <c r="T22" s="219">
        <f>'Anne-6'!D24</f>
        <v>0</v>
      </c>
      <c r="U22" s="219">
        <f t="shared" si="2"/>
        <v>0</v>
      </c>
      <c r="V22" s="232">
        <f t="shared" si="3"/>
        <v>0</v>
      </c>
      <c r="W22" s="231">
        <f t="shared" si="4"/>
        <v>0</v>
      </c>
      <c r="X22" s="219">
        <f t="shared" si="4"/>
        <v>0</v>
      </c>
      <c r="Y22" s="219">
        <f t="shared" si="4"/>
        <v>0</v>
      </c>
      <c r="Z22" s="219">
        <f t="shared" si="5"/>
        <v>0</v>
      </c>
      <c r="AA22" s="232">
        <f t="shared" si="6"/>
        <v>0</v>
      </c>
      <c r="AB22" s="231">
        <f t="shared" si="7"/>
        <v>0</v>
      </c>
      <c r="AC22" s="219">
        <f t="shared" si="7"/>
        <v>0</v>
      </c>
      <c r="AD22" s="219">
        <f t="shared" si="7"/>
        <v>0</v>
      </c>
      <c r="AE22" s="219">
        <f t="shared" si="8"/>
        <v>0</v>
      </c>
      <c r="AF22" s="232">
        <f t="shared" si="9"/>
        <v>0</v>
      </c>
      <c r="AG22" s="239"/>
      <c r="AH22" s="218"/>
      <c r="AI22" s="218"/>
      <c r="AJ22" s="218"/>
      <c r="AK22" s="243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46">
        <v>17</v>
      </c>
      <c r="B23" s="247" t="s">
        <v>37</v>
      </c>
      <c r="C23" s="220">
        <v>374427</v>
      </c>
      <c r="D23" s="219">
        <v>2157463</v>
      </c>
      <c r="E23" s="220">
        <v>22444472</v>
      </c>
      <c r="F23" s="219">
        <v>24601935</v>
      </c>
      <c r="G23" s="232">
        <v>24976362</v>
      </c>
      <c r="H23" s="231">
        <f>'Anne-8'!O25</f>
        <v>358864</v>
      </c>
      <c r="I23" s="219">
        <f>'Anne-7'!N25</f>
        <v>2105044</v>
      </c>
      <c r="J23" s="219">
        <f>'Anne-6'!Z25</f>
        <v>23031434</v>
      </c>
      <c r="K23" s="219">
        <f t="shared" si="0"/>
        <v>25136478</v>
      </c>
      <c r="L23" s="232">
        <f t="shared" si="1"/>
        <v>25495342</v>
      </c>
      <c r="M23" s="231">
        <v>364132</v>
      </c>
      <c r="N23" s="219">
        <v>70341</v>
      </c>
      <c r="O23" s="221">
        <v>4443021</v>
      </c>
      <c r="P23" s="219">
        <v>4513362</v>
      </c>
      <c r="Q23" s="232">
        <v>4877494</v>
      </c>
      <c r="R23" s="231">
        <f>'Anne-8'!D25</f>
        <v>348150</v>
      </c>
      <c r="S23" s="219">
        <f>'Anne-7'!F25</f>
        <v>61835</v>
      </c>
      <c r="T23" s="219">
        <f>'Anne-6'!D25</f>
        <v>4467195</v>
      </c>
      <c r="U23" s="219">
        <f t="shared" si="2"/>
        <v>4529030</v>
      </c>
      <c r="V23" s="232">
        <f t="shared" si="3"/>
        <v>4877180</v>
      </c>
      <c r="W23" s="231">
        <f t="shared" si="4"/>
        <v>-15563</v>
      </c>
      <c r="X23" s="219">
        <f t="shared" si="4"/>
        <v>-52419</v>
      </c>
      <c r="Y23" s="219">
        <f t="shared" si="4"/>
        <v>586962</v>
      </c>
      <c r="Z23" s="219">
        <f t="shared" si="5"/>
        <v>534543</v>
      </c>
      <c r="AA23" s="232">
        <f t="shared" si="6"/>
        <v>518980</v>
      </c>
      <c r="AB23" s="231">
        <f t="shared" si="7"/>
        <v>-15982</v>
      </c>
      <c r="AC23" s="219">
        <f t="shared" si="7"/>
        <v>-8506</v>
      </c>
      <c r="AD23" s="219">
        <f t="shared" si="7"/>
        <v>24174</v>
      </c>
      <c r="AE23" s="219">
        <f t="shared" si="8"/>
        <v>15668</v>
      </c>
      <c r="AF23" s="232">
        <f t="shared" si="9"/>
        <v>-314</v>
      </c>
      <c r="AG23" s="239">
        <f t="shared" si="10"/>
        <v>-102.69228297886013</v>
      </c>
      <c r="AH23" s="218">
        <f t="shared" si="11"/>
        <v>16.22694061313646</v>
      </c>
      <c r="AI23" s="218">
        <f t="shared" si="11"/>
        <v>4.118494894047656</v>
      </c>
      <c r="AJ23" s="218">
        <f t="shared" si="11"/>
        <v>2.931101894515502</v>
      </c>
      <c r="AK23" s="243">
        <f t="shared" si="11"/>
        <v>-0.06050329492465991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46">
        <v>18</v>
      </c>
      <c r="B24" s="247" t="s">
        <v>38</v>
      </c>
      <c r="C24" s="220">
        <v>1320155</v>
      </c>
      <c r="D24" s="219">
        <v>6869525</v>
      </c>
      <c r="E24" s="220">
        <v>22594770</v>
      </c>
      <c r="F24" s="219">
        <v>29464295</v>
      </c>
      <c r="G24" s="232">
        <v>30784450</v>
      </c>
      <c r="H24" s="231">
        <f>'Anne-8'!O26</f>
        <v>1276707</v>
      </c>
      <c r="I24" s="219">
        <f>'Anne-7'!N26</f>
        <v>7282990</v>
      </c>
      <c r="J24" s="219">
        <f>'Anne-6'!Z26</f>
        <v>22917618</v>
      </c>
      <c r="K24" s="219">
        <f t="shared" si="0"/>
        <v>30200608</v>
      </c>
      <c r="L24" s="232">
        <f t="shared" si="1"/>
        <v>31477315</v>
      </c>
      <c r="M24" s="231">
        <v>983646</v>
      </c>
      <c r="N24" s="219">
        <v>40433</v>
      </c>
      <c r="O24" s="221">
        <v>4391890</v>
      </c>
      <c r="P24" s="219">
        <v>4432323</v>
      </c>
      <c r="Q24" s="232">
        <v>5415969</v>
      </c>
      <c r="R24" s="231">
        <f>'Anne-8'!D26</f>
        <v>935140</v>
      </c>
      <c r="S24" s="219">
        <f>'Anne-7'!F26</f>
        <v>35907</v>
      </c>
      <c r="T24" s="219">
        <f>'Anne-6'!D26</f>
        <v>4460100</v>
      </c>
      <c r="U24" s="219">
        <f t="shared" si="2"/>
        <v>4496007</v>
      </c>
      <c r="V24" s="232">
        <f t="shared" si="3"/>
        <v>5431147</v>
      </c>
      <c r="W24" s="231">
        <f t="shared" si="4"/>
        <v>-43448</v>
      </c>
      <c r="X24" s="219">
        <f t="shared" si="4"/>
        <v>413465</v>
      </c>
      <c r="Y24" s="219">
        <f t="shared" si="4"/>
        <v>322848</v>
      </c>
      <c r="Z24" s="219">
        <f t="shared" si="5"/>
        <v>736313</v>
      </c>
      <c r="AA24" s="232">
        <f t="shared" si="6"/>
        <v>692865</v>
      </c>
      <c r="AB24" s="231">
        <f t="shared" si="7"/>
        <v>-48506</v>
      </c>
      <c r="AC24" s="219">
        <f t="shared" si="7"/>
        <v>-4526</v>
      </c>
      <c r="AD24" s="219">
        <f t="shared" si="7"/>
        <v>68210</v>
      </c>
      <c r="AE24" s="219">
        <f t="shared" si="8"/>
        <v>63684</v>
      </c>
      <c r="AF24" s="232">
        <f t="shared" si="9"/>
        <v>15178</v>
      </c>
      <c r="AG24" s="239">
        <f t="shared" si="10"/>
        <v>-111.64150248573006</v>
      </c>
      <c r="AH24" s="218">
        <f t="shared" si="11"/>
        <v>-1.0946513005937626</v>
      </c>
      <c r="AI24" s="218">
        <f t="shared" si="11"/>
        <v>21.12758945386064</v>
      </c>
      <c r="AJ24" s="218">
        <f t="shared" si="11"/>
        <v>8.649039199362228</v>
      </c>
      <c r="AK24" s="243">
        <f t="shared" si="11"/>
        <v>2.19061433323952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46">
        <v>19</v>
      </c>
      <c r="B25" s="247" t="s">
        <v>39</v>
      </c>
      <c r="C25" s="220">
        <v>1011011</v>
      </c>
      <c r="D25" s="219">
        <v>11001510</v>
      </c>
      <c r="E25" s="220">
        <v>37599620</v>
      </c>
      <c r="F25" s="219">
        <v>48601130</v>
      </c>
      <c r="G25" s="232">
        <v>49612141</v>
      </c>
      <c r="H25" s="231">
        <f>'Anne-8'!O27</f>
        <v>978983</v>
      </c>
      <c r="I25" s="219">
        <f>'Anne-7'!N27</f>
        <v>10670506</v>
      </c>
      <c r="J25" s="219">
        <f>'Anne-6'!Z27</f>
        <v>39054516</v>
      </c>
      <c r="K25" s="219">
        <f t="shared" si="0"/>
        <v>49725022</v>
      </c>
      <c r="L25" s="232">
        <f t="shared" si="1"/>
        <v>50704005</v>
      </c>
      <c r="M25" s="231">
        <v>887216</v>
      </c>
      <c r="N25" s="219">
        <v>178030</v>
      </c>
      <c r="O25" s="221">
        <v>5788422</v>
      </c>
      <c r="P25" s="219">
        <v>5966452</v>
      </c>
      <c r="Q25" s="232">
        <v>6853668</v>
      </c>
      <c r="R25" s="231">
        <f>'Anne-8'!D27</f>
        <v>852978</v>
      </c>
      <c r="S25" s="219">
        <f>'Anne-7'!F27</f>
        <v>171097</v>
      </c>
      <c r="T25" s="219">
        <f>'Anne-6'!D27</f>
        <v>5720320</v>
      </c>
      <c r="U25" s="219">
        <f t="shared" si="2"/>
        <v>5891417</v>
      </c>
      <c r="V25" s="232">
        <f t="shared" si="3"/>
        <v>6744395</v>
      </c>
      <c r="W25" s="231">
        <f t="shared" si="4"/>
        <v>-32028</v>
      </c>
      <c r="X25" s="219">
        <f t="shared" si="4"/>
        <v>-331004</v>
      </c>
      <c r="Y25" s="219">
        <f t="shared" si="4"/>
        <v>1454896</v>
      </c>
      <c r="Z25" s="219">
        <f t="shared" si="5"/>
        <v>1123892</v>
      </c>
      <c r="AA25" s="232">
        <f t="shared" si="6"/>
        <v>1091864</v>
      </c>
      <c r="AB25" s="231">
        <f t="shared" si="7"/>
        <v>-34238</v>
      </c>
      <c r="AC25" s="219">
        <f t="shared" si="7"/>
        <v>-6933</v>
      </c>
      <c r="AD25" s="219">
        <f t="shared" si="7"/>
        <v>-68102</v>
      </c>
      <c r="AE25" s="219">
        <f t="shared" si="8"/>
        <v>-75035</v>
      </c>
      <c r="AF25" s="232">
        <f t="shared" si="9"/>
        <v>-109273</v>
      </c>
      <c r="AG25" s="239">
        <f t="shared" si="10"/>
        <v>-106.90021231422506</v>
      </c>
      <c r="AH25" s="218">
        <f t="shared" si="11"/>
        <v>2.0945366219139347</v>
      </c>
      <c r="AI25" s="218">
        <f t="shared" si="11"/>
        <v>-4.680884406857947</v>
      </c>
      <c r="AJ25" s="218">
        <f t="shared" si="11"/>
        <v>-6.676353243905998</v>
      </c>
      <c r="AK25" s="243">
        <f t="shared" si="11"/>
        <v>-10.007931390722655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46">
        <v>20</v>
      </c>
      <c r="B26" s="247" t="s">
        <v>40</v>
      </c>
      <c r="C26" s="220">
        <v>1779999</v>
      </c>
      <c r="D26" s="219">
        <v>11410521</v>
      </c>
      <c r="E26" s="220">
        <v>47497972</v>
      </c>
      <c r="F26" s="219">
        <v>58908493</v>
      </c>
      <c r="G26" s="232">
        <v>60688492</v>
      </c>
      <c r="H26" s="231">
        <f>'Anne-8'!O28</f>
        <v>1710697</v>
      </c>
      <c r="I26" s="219">
        <f>'Anne-7'!N28</f>
        <v>10431970</v>
      </c>
      <c r="J26" s="219">
        <f>'Anne-6'!Z28</f>
        <v>48950554</v>
      </c>
      <c r="K26" s="219">
        <f t="shared" si="0"/>
        <v>59382524</v>
      </c>
      <c r="L26" s="232">
        <f t="shared" si="1"/>
        <v>61093221</v>
      </c>
      <c r="M26" s="231">
        <v>1582503</v>
      </c>
      <c r="N26" s="219">
        <v>100909</v>
      </c>
      <c r="O26" s="221">
        <v>7927731</v>
      </c>
      <c r="P26" s="219">
        <v>8028640</v>
      </c>
      <c r="Q26" s="232">
        <v>9611143</v>
      </c>
      <c r="R26" s="231">
        <f>'Anne-8'!D28</f>
        <v>1522368</v>
      </c>
      <c r="S26" s="219">
        <f>'Anne-7'!F28</f>
        <v>88778</v>
      </c>
      <c r="T26" s="219">
        <f>'Anne-6'!D28</f>
        <v>7998780</v>
      </c>
      <c r="U26" s="219">
        <f t="shared" si="2"/>
        <v>8087558</v>
      </c>
      <c r="V26" s="232">
        <f t="shared" si="3"/>
        <v>9609926</v>
      </c>
      <c r="W26" s="231">
        <f t="shared" si="4"/>
        <v>-69302</v>
      </c>
      <c r="X26" s="219">
        <f t="shared" si="4"/>
        <v>-978551</v>
      </c>
      <c r="Y26" s="219">
        <f t="shared" si="4"/>
        <v>1452582</v>
      </c>
      <c r="Z26" s="219">
        <f t="shared" si="5"/>
        <v>474031</v>
      </c>
      <c r="AA26" s="232">
        <f t="shared" si="6"/>
        <v>404729</v>
      </c>
      <c r="AB26" s="231">
        <f t="shared" si="7"/>
        <v>-60135</v>
      </c>
      <c r="AC26" s="219">
        <f t="shared" si="7"/>
        <v>-12131</v>
      </c>
      <c r="AD26" s="219">
        <f t="shared" si="7"/>
        <v>71049</v>
      </c>
      <c r="AE26" s="219">
        <f t="shared" si="8"/>
        <v>58918</v>
      </c>
      <c r="AF26" s="232">
        <f t="shared" si="9"/>
        <v>-1217</v>
      </c>
      <c r="AG26" s="239">
        <f t="shared" si="10"/>
        <v>-86.77238752128366</v>
      </c>
      <c r="AH26" s="218">
        <f t="shared" si="11"/>
        <v>1.2396901132388605</v>
      </c>
      <c r="AI26" s="218">
        <f t="shared" si="11"/>
        <v>4.891221287335242</v>
      </c>
      <c r="AJ26" s="218">
        <f t="shared" si="11"/>
        <v>12.429144929340065</v>
      </c>
      <c r="AK26" s="243">
        <f t="shared" si="11"/>
        <v>-0.30069503297268046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46">
        <v>21</v>
      </c>
      <c r="B27" s="247" t="s">
        <v>41</v>
      </c>
      <c r="C27" s="220">
        <v>0</v>
      </c>
      <c r="D27" s="219">
        <v>0</v>
      </c>
      <c r="E27" s="220">
        <v>0</v>
      </c>
      <c r="F27" s="219">
        <v>0</v>
      </c>
      <c r="G27" s="232">
        <v>0</v>
      </c>
      <c r="H27" s="231">
        <f>'Anne-8'!O29</f>
        <v>0</v>
      </c>
      <c r="I27" s="219">
        <f>'Anne-7'!N29</f>
        <v>0</v>
      </c>
      <c r="J27" s="219">
        <f>'Anne-6'!Z29</f>
        <v>0</v>
      </c>
      <c r="K27" s="219">
        <f t="shared" si="0"/>
        <v>0</v>
      </c>
      <c r="L27" s="232">
        <f t="shared" si="1"/>
        <v>0</v>
      </c>
      <c r="M27" s="231">
        <v>0</v>
      </c>
      <c r="N27" s="219">
        <v>0</v>
      </c>
      <c r="O27" s="221">
        <v>0</v>
      </c>
      <c r="P27" s="219">
        <v>0</v>
      </c>
      <c r="Q27" s="232">
        <v>0</v>
      </c>
      <c r="R27" s="231">
        <f>'Anne-8'!D29</f>
        <v>0</v>
      </c>
      <c r="S27" s="219">
        <f>'Anne-7'!F29</f>
        <v>0</v>
      </c>
      <c r="T27" s="219">
        <f>'Anne-6'!D29</f>
        <v>0</v>
      </c>
      <c r="U27" s="219">
        <f t="shared" si="2"/>
        <v>0</v>
      </c>
      <c r="V27" s="232">
        <f t="shared" si="3"/>
        <v>0</v>
      </c>
      <c r="W27" s="231">
        <f t="shared" si="4"/>
        <v>0</v>
      </c>
      <c r="X27" s="219">
        <f t="shared" si="4"/>
        <v>0</v>
      </c>
      <c r="Y27" s="219">
        <f t="shared" si="4"/>
        <v>0</v>
      </c>
      <c r="Z27" s="219">
        <f t="shared" si="5"/>
        <v>0</v>
      </c>
      <c r="AA27" s="232">
        <f t="shared" si="6"/>
        <v>0</v>
      </c>
      <c r="AB27" s="231">
        <f t="shared" si="7"/>
        <v>0</v>
      </c>
      <c r="AC27" s="219">
        <f t="shared" si="7"/>
        <v>0</v>
      </c>
      <c r="AD27" s="219">
        <f t="shared" si="7"/>
        <v>0</v>
      </c>
      <c r="AE27" s="219">
        <f t="shared" si="8"/>
        <v>0</v>
      </c>
      <c r="AF27" s="232">
        <f t="shared" si="9"/>
        <v>0</v>
      </c>
      <c r="AG27" s="239"/>
      <c r="AH27" s="218"/>
      <c r="AI27" s="218"/>
      <c r="AJ27" s="218"/>
      <c r="AK27" s="243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46">
        <v>22</v>
      </c>
      <c r="B28" s="247" t="s">
        <v>42</v>
      </c>
      <c r="C28" s="220">
        <v>1048303</v>
      </c>
      <c r="D28" s="219">
        <v>14726334</v>
      </c>
      <c r="E28" s="220">
        <v>59097816</v>
      </c>
      <c r="F28" s="219">
        <v>73824150</v>
      </c>
      <c r="G28" s="232">
        <v>74872453</v>
      </c>
      <c r="H28" s="231">
        <f>'Anne-8'!O30</f>
        <v>872950</v>
      </c>
      <c r="I28" s="219">
        <f>'Anne-7'!N30</f>
        <v>13102391</v>
      </c>
      <c r="J28" s="219">
        <f>'Anne-6'!Z30</f>
        <v>59647317</v>
      </c>
      <c r="K28" s="219">
        <f t="shared" si="0"/>
        <v>72749708</v>
      </c>
      <c r="L28" s="232">
        <f t="shared" si="1"/>
        <v>73622658</v>
      </c>
      <c r="M28" s="231">
        <v>943196</v>
      </c>
      <c r="N28" s="219">
        <v>420339</v>
      </c>
      <c r="O28" s="221">
        <v>10014585</v>
      </c>
      <c r="P28" s="219">
        <v>10434924</v>
      </c>
      <c r="Q28" s="232">
        <v>11378120</v>
      </c>
      <c r="R28" s="231">
        <f>'Anne-8'!D30</f>
        <v>766715</v>
      </c>
      <c r="S28" s="219">
        <f>'Anne-7'!F30</f>
        <v>294068</v>
      </c>
      <c r="T28" s="219">
        <f>'Anne-6'!D30</f>
        <v>9910844</v>
      </c>
      <c r="U28" s="219">
        <f t="shared" si="2"/>
        <v>10204912</v>
      </c>
      <c r="V28" s="232">
        <f t="shared" si="3"/>
        <v>10971627</v>
      </c>
      <c r="W28" s="231">
        <f t="shared" si="4"/>
        <v>-175353</v>
      </c>
      <c r="X28" s="219">
        <f t="shared" si="4"/>
        <v>-1623943</v>
      </c>
      <c r="Y28" s="219">
        <f t="shared" si="4"/>
        <v>549501</v>
      </c>
      <c r="Z28" s="219">
        <f t="shared" si="5"/>
        <v>-1074442</v>
      </c>
      <c r="AA28" s="232">
        <f t="shared" si="6"/>
        <v>-1249795</v>
      </c>
      <c r="AB28" s="231">
        <f t="shared" si="7"/>
        <v>-176481</v>
      </c>
      <c r="AC28" s="219">
        <f t="shared" si="7"/>
        <v>-126271</v>
      </c>
      <c r="AD28" s="219">
        <f t="shared" si="7"/>
        <v>-103741</v>
      </c>
      <c r="AE28" s="219">
        <f t="shared" si="8"/>
        <v>-230012</v>
      </c>
      <c r="AF28" s="232">
        <f t="shared" si="9"/>
        <v>-406493</v>
      </c>
      <c r="AG28" s="239">
        <f t="shared" si="10"/>
        <v>-100.64327385331305</v>
      </c>
      <c r="AH28" s="542">
        <f t="shared" si="11"/>
        <v>7.775580793168232</v>
      </c>
      <c r="AI28" s="218">
        <f t="shared" si="11"/>
        <v>-18.87912851841944</v>
      </c>
      <c r="AJ28" s="218">
        <f t="shared" si="11"/>
        <v>21.407577142367852</v>
      </c>
      <c r="AK28" s="243">
        <f t="shared" si="11"/>
        <v>32.52477406294632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46">
        <v>23</v>
      </c>
      <c r="B29" s="247" t="s">
        <v>43</v>
      </c>
      <c r="C29" s="220">
        <v>767118</v>
      </c>
      <c r="D29" s="219">
        <v>11210241</v>
      </c>
      <c r="E29" s="220">
        <v>37189244</v>
      </c>
      <c r="F29" s="219">
        <v>48399485</v>
      </c>
      <c r="G29" s="232">
        <v>49166603</v>
      </c>
      <c r="H29" s="231">
        <f>'Anne-8'!O31</f>
        <v>652430</v>
      </c>
      <c r="I29" s="219">
        <f>'Anne-7'!N31</f>
        <v>10086365</v>
      </c>
      <c r="J29" s="219">
        <f>'Anne-6'!Z31</f>
        <v>36653942</v>
      </c>
      <c r="K29" s="219">
        <f t="shared" si="0"/>
        <v>46740307</v>
      </c>
      <c r="L29" s="232">
        <f t="shared" si="1"/>
        <v>47392737</v>
      </c>
      <c r="M29" s="231">
        <v>728589</v>
      </c>
      <c r="N29" s="219">
        <v>134031</v>
      </c>
      <c r="O29" s="221">
        <v>4768705</v>
      </c>
      <c r="P29" s="219">
        <v>4902736</v>
      </c>
      <c r="Q29" s="232">
        <v>5631325</v>
      </c>
      <c r="R29" s="231">
        <f>'Anne-8'!D31</f>
        <v>616600</v>
      </c>
      <c r="S29" s="219">
        <f>'Anne-7'!F31</f>
        <v>90971</v>
      </c>
      <c r="T29" s="219">
        <f>'Anne-6'!D31</f>
        <v>4514419</v>
      </c>
      <c r="U29" s="219">
        <f t="shared" si="2"/>
        <v>4605390</v>
      </c>
      <c r="V29" s="232">
        <f t="shared" si="3"/>
        <v>5221990</v>
      </c>
      <c r="W29" s="231">
        <f t="shared" si="4"/>
        <v>-114688</v>
      </c>
      <c r="X29" s="219">
        <f t="shared" si="4"/>
        <v>-1123876</v>
      </c>
      <c r="Y29" s="219">
        <f t="shared" si="4"/>
        <v>-535302</v>
      </c>
      <c r="Z29" s="219">
        <f t="shared" si="5"/>
        <v>-1659178</v>
      </c>
      <c r="AA29" s="232">
        <f t="shared" si="6"/>
        <v>-1773866</v>
      </c>
      <c r="AB29" s="231">
        <f t="shared" si="7"/>
        <v>-111989</v>
      </c>
      <c r="AC29" s="219">
        <f t="shared" si="7"/>
        <v>-43060</v>
      </c>
      <c r="AD29" s="219">
        <f t="shared" si="7"/>
        <v>-254286</v>
      </c>
      <c r="AE29" s="219">
        <f t="shared" si="8"/>
        <v>-297346</v>
      </c>
      <c r="AF29" s="232">
        <f t="shared" si="9"/>
        <v>-409335</v>
      </c>
      <c r="AG29" s="239">
        <f>-(AB29)/W29*100</f>
        <v>-97.64665876116071</v>
      </c>
      <c r="AH29" s="218">
        <f t="shared" si="11"/>
        <v>3.831383533414719</v>
      </c>
      <c r="AI29" s="218">
        <f t="shared" si="11"/>
        <v>47.503278523151415</v>
      </c>
      <c r="AJ29" s="218">
        <f t="shared" si="11"/>
        <v>17.92128391287734</v>
      </c>
      <c r="AK29" s="486" t="s">
        <v>130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46">
        <v>24</v>
      </c>
      <c r="B30" s="247" t="s">
        <v>44</v>
      </c>
      <c r="C30" s="220">
        <v>548248</v>
      </c>
      <c r="D30" s="219">
        <v>4083473</v>
      </c>
      <c r="E30" s="220">
        <v>37076386</v>
      </c>
      <c r="F30" s="219">
        <v>41159859</v>
      </c>
      <c r="G30" s="232">
        <v>41708107</v>
      </c>
      <c r="H30" s="231">
        <f>'Anne-8'!O32</f>
        <v>527887</v>
      </c>
      <c r="I30" s="219">
        <f>'Anne-7'!N32</f>
        <v>3385722</v>
      </c>
      <c r="J30" s="219">
        <f>'Anne-6'!Z32</f>
        <v>37349042</v>
      </c>
      <c r="K30" s="219">
        <f t="shared" si="0"/>
        <v>40734764</v>
      </c>
      <c r="L30" s="232">
        <f t="shared" si="1"/>
        <v>41262651</v>
      </c>
      <c r="M30" s="231">
        <v>542345</v>
      </c>
      <c r="N30" s="219">
        <v>75773</v>
      </c>
      <c r="O30" s="221">
        <v>3533718</v>
      </c>
      <c r="P30" s="219">
        <v>3609491</v>
      </c>
      <c r="Q30" s="232">
        <v>4151836</v>
      </c>
      <c r="R30" s="231">
        <f>'Anne-8'!D32</f>
        <v>521979</v>
      </c>
      <c r="S30" s="219">
        <f>'Anne-7'!F32</f>
        <v>71908</v>
      </c>
      <c r="T30" s="219">
        <f>'Anne-6'!D32</f>
        <v>2893021</v>
      </c>
      <c r="U30" s="219">
        <f t="shared" si="2"/>
        <v>2964929</v>
      </c>
      <c r="V30" s="232">
        <f t="shared" si="3"/>
        <v>3486908</v>
      </c>
      <c r="W30" s="231">
        <f t="shared" si="4"/>
        <v>-20361</v>
      </c>
      <c r="X30" s="219">
        <f t="shared" si="4"/>
        <v>-697751</v>
      </c>
      <c r="Y30" s="219">
        <f t="shared" si="4"/>
        <v>272656</v>
      </c>
      <c r="Z30" s="219">
        <f t="shared" si="5"/>
        <v>-425095</v>
      </c>
      <c r="AA30" s="232">
        <f t="shared" si="6"/>
        <v>-445456</v>
      </c>
      <c r="AB30" s="231">
        <f t="shared" si="7"/>
        <v>-20366</v>
      </c>
      <c r="AC30" s="219">
        <f t="shared" si="7"/>
        <v>-3865</v>
      </c>
      <c r="AD30" s="219">
        <f t="shared" si="7"/>
        <v>-640697</v>
      </c>
      <c r="AE30" s="219">
        <f t="shared" si="8"/>
        <v>-644562</v>
      </c>
      <c r="AF30" s="232">
        <f t="shared" si="9"/>
        <v>-664928</v>
      </c>
      <c r="AG30" s="239">
        <f t="shared" si="10"/>
        <v>-100.02455675065076</v>
      </c>
      <c r="AH30" s="218">
        <f t="shared" si="11"/>
        <v>0.5539225311035025</v>
      </c>
      <c r="AI30" s="218">
        <f t="shared" si="11"/>
        <v>-234.9836423918784</v>
      </c>
      <c r="AJ30" s="218">
        <f t="shared" si="11"/>
        <v>151.62775379621024</v>
      </c>
      <c r="AK30" s="486" t="s">
        <v>130</v>
      </c>
    </row>
    <row r="31" spans="1:37" ht="18" customHeight="1">
      <c r="A31" s="246">
        <v>25</v>
      </c>
      <c r="B31" s="247" t="s">
        <v>45</v>
      </c>
      <c r="C31" s="220">
        <v>1144255</v>
      </c>
      <c r="D31" s="219">
        <v>3764962</v>
      </c>
      <c r="E31" s="220">
        <v>17495102</v>
      </c>
      <c r="F31" s="219">
        <v>21260064</v>
      </c>
      <c r="G31" s="232">
        <v>22404319</v>
      </c>
      <c r="H31" s="231">
        <f>'Anne-8'!O33</f>
        <v>1114259</v>
      </c>
      <c r="I31" s="219">
        <f>'Anne-7'!N33</f>
        <v>3661165</v>
      </c>
      <c r="J31" s="219">
        <f>'Anne-6'!Z33</f>
        <v>17566116</v>
      </c>
      <c r="K31" s="219">
        <f t="shared" si="0"/>
        <v>21227281</v>
      </c>
      <c r="L31" s="232">
        <f t="shared" si="1"/>
        <v>22341540</v>
      </c>
      <c r="M31" s="231">
        <v>930944</v>
      </c>
      <c r="N31" s="219">
        <v>24387</v>
      </c>
      <c r="O31" s="221">
        <v>2271492</v>
      </c>
      <c r="P31" s="219">
        <v>2295879</v>
      </c>
      <c r="Q31" s="232">
        <v>3226823</v>
      </c>
      <c r="R31" s="231">
        <f>'Anne-8'!D33</f>
        <v>886504</v>
      </c>
      <c r="S31" s="219">
        <f>'Anne-7'!F33</f>
        <v>22543</v>
      </c>
      <c r="T31" s="219">
        <f>'Anne-6'!D33</f>
        <v>2259186</v>
      </c>
      <c r="U31" s="219">
        <f t="shared" si="2"/>
        <v>2281729</v>
      </c>
      <c r="V31" s="232">
        <f t="shared" si="3"/>
        <v>3168233</v>
      </c>
      <c r="W31" s="231">
        <f t="shared" si="4"/>
        <v>-29996</v>
      </c>
      <c r="X31" s="219">
        <f t="shared" si="4"/>
        <v>-103797</v>
      </c>
      <c r="Y31" s="219">
        <f t="shared" si="4"/>
        <v>71014</v>
      </c>
      <c r="Z31" s="219">
        <f t="shared" si="5"/>
        <v>-32783</v>
      </c>
      <c r="AA31" s="232">
        <f t="shared" si="6"/>
        <v>-62779</v>
      </c>
      <c r="AB31" s="231">
        <f t="shared" si="7"/>
        <v>-44440</v>
      </c>
      <c r="AC31" s="219">
        <f t="shared" si="7"/>
        <v>-1844</v>
      </c>
      <c r="AD31" s="219">
        <f t="shared" si="7"/>
        <v>-12306</v>
      </c>
      <c r="AE31" s="219">
        <f t="shared" si="8"/>
        <v>-14150</v>
      </c>
      <c r="AF31" s="232">
        <f t="shared" si="9"/>
        <v>-58590</v>
      </c>
      <c r="AG31" s="239">
        <f t="shared" si="10"/>
        <v>-148.1530870782771</v>
      </c>
      <c r="AH31" s="218">
        <f t="shared" si="11"/>
        <v>1.7765446014817383</v>
      </c>
      <c r="AI31" s="218">
        <f t="shared" si="11"/>
        <v>-17.328977384741037</v>
      </c>
      <c r="AJ31" s="218">
        <f t="shared" si="11"/>
        <v>43.16261476985023</v>
      </c>
      <c r="AK31" s="486" t="s">
        <v>130</v>
      </c>
    </row>
    <row r="32" spans="1:43" ht="18" customHeight="1">
      <c r="A32" s="246">
        <v>26</v>
      </c>
      <c r="B32" s="247" t="s">
        <v>46</v>
      </c>
      <c r="C32" s="220">
        <v>1329576</v>
      </c>
      <c r="D32" s="219">
        <v>2288935</v>
      </c>
      <c r="E32" s="220">
        <v>11214964</v>
      </c>
      <c r="F32" s="219">
        <v>13503899</v>
      </c>
      <c r="G32" s="232">
        <v>14833475</v>
      </c>
      <c r="H32" s="231">
        <f>'Anne-8'!O34</f>
        <v>1295922</v>
      </c>
      <c r="I32" s="219">
        <f>'Anne-7'!N34</f>
        <v>2324210</v>
      </c>
      <c r="J32" s="219">
        <f>'Anne-6'!Z34</f>
        <v>11602401</v>
      </c>
      <c r="K32" s="219">
        <f t="shared" si="0"/>
        <v>13926611</v>
      </c>
      <c r="L32" s="232">
        <f t="shared" si="1"/>
        <v>15222533</v>
      </c>
      <c r="M32" s="231">
        <v>816173</v>
      </c>
      <c r="N32" s="219">
        <v>15263</v>
      </c>
      <c r="O32" s="221">
        <v>1553995</v>
      </c>
      <c r="P32" s="219">
        <v>1569258</v>
      </c>
      <c r="Q32" s="232">
        <v>2385431</v>
      </c>
      <c r="R32" s="231">
        <f>'Anne-8'!D34</f>
        <v>788221</v>
      </c>
      <c r="S32" s="219">
        <f>'Anne-7'!F34</f>
        <v>13873</v>
      </c>
      <c r="T32" s="219">
        <f>'Anne-6'!D34</f>
        <v>1504017</v>
      </c>
      <c r="U32" s="219">
        <f t="shared" si="2"/>
        <v>1517890</v>
      </c>
      <c r="V32" s="232">
        <f t="shared" si="3"/>
        <v>2306111</v>
      </c>
      <c r="W32" s="231">
        <f t="shared" si="4"/>
        <v>-33654</v>
      </c>
      <c r="X32" s="219">
        <f t="shared" si="4"/>
        <v>35275</v>
      </c>
      <c r="Y32" s="219">
        <f t="shared" si="4"/>
        <v>387437</v>
      </c>
      <c r="Z32" s="219">
        <f t="shared" si="5"/>
        <v>422712</v>
      </c>
      <c r="AA32" s="232">
        <f t="shared" si="6"/>
        <v>389058</v>
      </c>
      <c r="AB32" s="231">
        <f t="shared" si="7"/>
        <v>-27952</v>
      </c>
      <c r="AC32" s="219">
        <f t="shared" si="7"/>
        <v>-1390</v>
      </c>
      <c r="AD32" s="219">
        <f t="shared" si="7"/>
        <v>-49978</v>
      </c>
      <c r="AE32" s="219">
        <f t="shared" si="8"/>
        <v>-51368</v>
      </c>
      <c r="AF32" s="232">
        <f t="shared" si="9"/>
        <v>-79320</v>
      </c>
      <c r="AG32" s="486" t="s">
        <v>130</v>
      </c>
      <c r="AH32" s="218">
        <f t="shared" si="11"/>
        <v>-3.940467753366407</v>
      </c>
      <c r="AI32" s="218">
        <f t="shared" si="11"/>
        <v>-12.899645619803993</v>
      </c>
      <c r="AJ32" s="486" t="s">
        <v>130</v>
      </c>
      <c r="AK32" s="486" t="s">
        <v>130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40"/>
      <c r="B33" s="238" t="s">
        <v>47</v>
      </c>
      <c r="C33" s="233">
        <v>24265365</v>
      </c>
      <c r="D33" s="233">
        <v>148486698</v>
      </c>
      <c r="E33" s="233">
        <v>648519316</v>
      </c>
      <c r="F33" s="233">
        <v>797006014</v>
      </c>
      <c r="G33" s="233">
        <v>821271379</v>
      </c>
      <c r="H33" s="233">
        <f aca="true" t="shared" si="12" ref="H33:AA33">SUM(H8:H32)</f>
        <v>23172366</v>
      </c>
      <c r="I33" s="222">
        <f t="shared" si="12"/>
        <v>148404402</v>
      </c>
      <c r="J33" s="222">
        <f t="shared" si="12"/>
        <v>661989246</v>
      </c>
      <c r="K33" s="222">
        <f t="shared" si="12"/>
        <v>810393648</v>
      </c>
      <c r="L33" s="234">
        <f t="shared" si="12"/>
        <v>833566014</v>
      </c>
      <c r="M33" s="233">
        <v>20446062</v>
      </c>
      <c r="N33" s="222">
        <v>2701813</v>
      </c>
      <c r="O33" s="222">
        <v>98504812</v>
      </c>
      <c r="P33" s="222">
        <v>101206625</v>
      </c>
      <c r="Q33" s="234">
        <v>121652687</v>
      </c>
      <c r="R33" s="233">
        <f t="shared" si="12"/>
        <v>19368441</v>
      </c>
      <c r="S33" s="222">
        <f t="shared" si="12"/>
        <v>2385354</v>
      </c>
      <c r="T33" s="222">
        <f t="shared" si="12"/>
        <v>95472827</v>
      </c>
      <c r="U33" s="222">
        <f t="shared" si="12"/>
        <v>97858181</v>
      </c>
      <c r="V33" s="234">
        <f t="shared" si="12"/>
        <v>117226622</v>
      </c>
      <c r="W33" s="549">
        <f t="shared" si="12"/>
        <v>-1092999</v>
      </c>
      <c r="X33" s="222">
        <f t="shared" si="12"/>
        <v>-82296</v>
      </c>
      <c r="Y33" s="222">
        <f t="shared" si="12"/>
        <v>13469930</v>
      </c>
      <c r="Z33" s="550">
        <f t="shared" si="12"/>
        <v>13387634</v>
      </c>
      <c r="AA33" s="234">
        <f t="shared" si="12"/>
        <v>12294635</v>
      </c>
      <c r="AB33" s="233">
        <f>SUM(AB8:AB32)</f>
        <v>-1077621</v>
      </c>
      <c r="AC33" s="222">
        <f>SUM(AC8:AC32)</f>
        <v>-316459</v>
      </c>
      <c r="AD33" s="551">
        <f>SUM(AD8:AD32)</f>
        <v>-3031985</v>
      </c>
      <c r="AE33" s="222">
        <f>SUM(AE8:AE32)</f>
        <v>-3348444</v>
      </c>
      <c r="AF33" s="234">
        <f>SUM(AF8:AF32)</f>
        <v>-4426065</v>
      </c>
      <c r="AG33" s="239">
        <f t="shared" si="10"/>
        <v>-98.59304537332605</v>
      </c>
      <c r="AH33" s="223">
        <f t="shared" si="11"/>
        <v>384.53752308739183</v>
      </c>
      <c r="AI33" s="223">
        <f t="shared" si="11"/>
        <v>-22.509285497400505</v>
      </c>
      <c r="AJ33" s="223">
        <f t="shared" si="11"/>
        <v>-25.01146953972599</v>
      </c>
      <c r="AK33" s="486" t="s">
        <v>130</v>
      </c>
    </row>
    <row r="34" spans="1:37" ht="18" customHeight="1">
      <c r="A34" s="228">
        <v>27</v>
      </c>
      <c r="B34" s="238" t="s">
        <v>48</v>
      </c>
      <c r="C34" s="220">
        <v>2956758</v>
      </c>
      <c r="D34" s="219">
        <v>12252819</v>
      </c>
      <c r="E34" s="219">
        <v>28173610</v>
      </c>
      <c r="F34" s="219">
        <v>40426429</v>
      </c>
      <c r="G34" s="232">
        <v>43383187</v>
      </c>
      <c r="H34" s="231">
        <f>'Anne-8'!O36</f>
        <v>3396635</v>
      </c>
      <c r="I34" s="219">
        <f>'Anne-7'!N36</f>
        <v>11575312</v>
      </c>
      <c r="J34" s="219">
        <f>'Anne-6'!Z36</f>
        <v>29475945</v>
      </c>
      <c r="K34" s="219">
        <f t="shared" si="0"/>
        <v>41051257</v>
      </c>
      <c r="L34" s="232">
        <f t="shared" si="1"/>
        <v>44447892</v>
      </c>
      <c r="M34" s="239">
        <v>0</v>
      </c>
      <c r="N34" s="218">
        <v>0</v>
      </c>
      <c r="O34" s="224">
        <v>0</v>
      </c>
      <c r="P34" s="219">
        <v>0</v>
      </c>
      <c r="Q34" s="232">
        <v>0</v>
      </c>
      <c r="R34" s="231">
        <f>'[1]LL31.03.10'!D36</f>
        <v>0</v>
      </c>
      <c r="S34" s="219">
        <f>'[1]WLL31.03.10'!D36+'[1]WLL31.03.10'!L36</f>
        <v>0</v>
      </c>
      <c r="T34" s="219">
        <f>'[1]M31.03.10'!D36</f>
        <v>0</v>
      </c>
      <c r="U34" s="219">
        <f>SUM(S34:T34)</f>
        <v>0</v>
      </c>
      <c r="V34" s="232">
        <f>U34+R34</f>
        <v>0</v>
      </c>
      <c r="W34" s="231">
        <f t="shared" si="4"/>
        <v>439877</v>
      </c>
      <c r="X34" s="219">
        <f>I34-D34</f>
        <v>-677507</v>
      </c>
      <c r="Y34" s="219">
        <f>J34-E34</f>
        <v>1302335</v>
      </c>
      <c r="Z34" s="219">
        <f>SUM(X34:Y34)</f>
        <v>624828</v>
      </c>
      <c r="AA34" s="232">
        <f>Z34+W34</f>
        <v>1064705</v>
      </c>
      <c r="AB34" s="231">
        <f aca="true" t="shared" si="13" ref="AB34:AD35">R34-M34</f>
        <v>0</v>
      </c>
      <c r="AC34" s="219">
        <f t="shared" si="13"/>
        <v>0</v>
      </c>
      <c r="AD34" s="219">
        <f t="shared" si="13"/>
        <v>0</v>
      </c>
      <c r="AE34" s="219">
        <f>SUM(AC34:AD34)</f>
        <v>0</v>
      </c>
      <c r="AF34" s="232">
        <f>AE34+AB34</f>
        <v>0</v>
      </c>
      <c r="AG34" s="239"/>
      <c r="AH34" s="218"/>
      <c r="AI34" s="218"/>
      <c r="AJ34" s="218"/>
      <c r="AK34" s="243"/>
    </row>
    <row r="35" spans="1:37" ht="18" customHeight="1">
      <c r="A35" s="228">
        <v>28</v>
      </c>
      <c r="B35" s="238" t="s">
        <v>49</v>
      </c>
      <c r="C35" s="220">
        <v>2985545</v>
      </c>
      <c r="D35" s="219">
        <v>10154685</v>
      </c>
      <c r="E35" s="219">
        <v>20198977</v>
      </c>
      <c r="F35" s="219">
        <v>30353662</v>
      </c>
      <c r="G35" s="232">
        <v>33339207</v>
      </c>
      <c r="H35" s="231">
        <f>'Anne-8'!O37</f>
        <v>2713877</v>
      </c>
      <c r="I35" s="219">
        <f>'Anne-7'!N37</f>
        <v>9439207</v>
      </c>
      <c r="J35" s="219">
        <f>'Anne-6'!Z37</f>
        <v>19798529</v>
      </c>
      <c r="K35" s="219">
        <f t="shared" si="0"/>
        <v>29237736</v>
      </c>
      <c r="L35" s="232">
        <f t="shared" si="1"/>
        <v>31951613</v>
      </c>
      <c r="M35" s="239">
        <v>0</v>
      </c>
      <c r="N35" s="218">
        <v>0</v>
      </c>
      <c r="O35" s="224">
        <v>0</v>
      </c>
      <c r="P35" s="219">
        <v>0</v>
      </c>
      <c r="Q35" s="232">
        <v>0</v>
      </c>
      <c r="R35" s="231">
        <f>'[1]LL31.03.10'!D37</f>
        <v>0</v>
      </c>
      <c r="S35" s="219">
        <f>'[1]WLL31.03.10'!D37+'[1]WLL31.03.10'!L37</f>
        <v>0</v>
      </c>
      <c r="T35" s="219">
        <f>'[1]M31.03.10'!D37</f>
        <v>0</v>
      </c>
      <c r="U35" s="219">
        <f>SUM(S35:T35)</f>
        <v>0</v>
      </c>
      <c r="V35" s="232">
        <f>U35+R35</f>
        <v>0</v>
      </c>
      <c r="W35" s="231">
        <f t="shared" si="4"/>
        <v>-271668</v>
      </c>
      <c r="X35" s="219">
        <f>I35-D35</f>
        <v>-715478</v>
      </c>
      <c r="Y35" s="219">
        <f>J35-E35</f>
        <v>-400448</v>
      </c>
      <c r="Z35" s="219">
        <f>SUM(X35:Y35)</f>
        <v>-1115926</v>
      </c>
      <c r="AA35" s="232">
        <f>Z35+W35</f>
        <v>-1387594</v>
      </c>
      <c r="AB35" s="231">
        <f t="shared" si="13"/>
        <v>0</v>
      </c>
      <c r="AC35" s="219">
        <f t="shared" si="13"/>
        <v>0</v>
      </c>
      <c r="AD35" s="219">
        <f t="shared" si="13"/>
        <v>0</v>
      </c>
      <c r="AE35" s="219">
        <f>SUM(AC35:AD35)</f>
        <v>0</v>
      </c>
      <c r="AF35" s="232">
        <f>AE35+AB35</f>
        <v>0</v>
      </c>
      <c r="AG35" s="239"/>
      <c r="AH35" s="218"/>
      <c r="AI35" s="218"/>
      <c r="AJ35" s="218"/>
      <c r="AK35" s="243"/>
    </row>
    <row r="36" spans="1:37" ht="18" customHeight="1" thickBot="1">
      <c r="A36" s="248"/>
      <c r="B36" s="249" t="s">
        <v>50</v>
      </c>
      <c r="C36" s="245">
        <v>30207668</v>
      </c>
      <c r="D36" s="236">
        <v>170894202</v>
      </c>
      <c r="E36" s="236">
        <v>696891903</v>
      </c>
      <c r="F36" s="236">
        <v>867786105</v>
      </c>
      <c r="G36" s="237">
        <v>897993773</v>
      </c>
      <c r="H36" s="235">
        <f aca="true" t="shared" si="14" ref="H36:AF36">SUM(H33:H35)</f>
        <v>29282878</v>
      </c>
      <c r="I36" s="236">
        <f t="shared" si="14"/>
        <v>169418921</v>
      </c>
      <c r="J36" s="236">
        <f t="shared" si="14"/>
        <v>711263720</v>
      </c>
      <c r="K36" s="236">
        <f t="shared" si="14"/>
        <v>880682641</v>
      </c>
      <c r="L36" s="237">
        <f t="shared" si="14"/>
        <v>909965519</v>
      </c>
      <c r="M36" s="235">
        <v>20446062</v>
      </c>
      <c r="N36" s="236">
        <v>2701813</v>
      </c>
      <c r="O36" s="236">
        <v>98504812</v>
      </c>
      <c r="P36" s="236">
        <v>101206625</v>
      </c>
      <c r="Q36" s="237">
        <v>121652687</v>
      </c>
      <c r="R36" s="235">
        <f t="shared" si="14"/>
        <v>19368441</v>
      </c>
      <c r="S36" s="236">
        <f t="shared" si="14"/>
        <v>2385354</v>
      </c>
      <c r="T36" s="236">
        <f t="shared" si="14"/>
        <v>95472827</v>
      </c>
      <c r="U36" s="236">
        <f t="shared" si="14"/>
        <v>97858181</v>
      </c>
      <c r="V36" s="237">
        <f t="shared" si="14"/>
        <v>117226622</v>
      </c>
      <c r="W36" s="235">
        <f t="shared" si="14"/>
        <v>-924790</v>
      </c>
      <c r="X36" s="236">
        <f t="shared" si="14"/>
        <v>-1475281</v>
      </c>
      <c r="Y36" s="236">
        <f t="shared" si="14"/>
        <v>14371817</v>
      </c>
      <c r="Z36" s="552">
        <f t="shared" si="14"/>
        <v>12896536</v>
      </c>
      <c r="AA36" s="237">
        <f t="shared" si="14"/>
        <v>11971746</v>
      </c>
      <c r="AB36" s="235">
        <f t="shared" si="14"/>
        <v>-1077621</v>
      </c>
      <c r="AC36" s="236">
        <f t="shared" si="14"/>
        <v>-316459</v>
      </c>
      <c r="AD36" s="553">
        <f t="shared" si="14"/>
        <v>-3031985</v>
      </c>
      <c r="AE36" s="236">
        <f t="shared" si="14"/>
        <v>-3348444</v>
      </c>
      <c r="AF36" s="237">
        <f t="shared" si="14"/>
        <v>-4426065</v>
      </c>
      <c r="AG36" s="265">
        <f t="shared" si="10"/>
        <v>-116.52602212394166</v>
      </c>
      <c r="AH36" s="244">
        <f t="shared" si="11"/>
        <v>21.450760905888437</v>
      </c>
      <c r="AI36" s="244">
        <f t="shared" si="11"/>
        <v>-21.096740934009944</v>
      </c>
      <c r="AJ36" s="244">
        <f t="shared" si="11"/>
        <v>-25.96390224475782</v>
      </c>
      <c r="AK36" s="487" t="s">
        <v>130</v>
      </c>
    </row>
    <row r="39" ht="12.75">
      <c r="L39">
        <v>653927947</v>
      </c>
    </row>
    <row r="40" ht="12.75">
      <c r="L40" s="81">
        <f>L39-L36</f>
        <v>-256037572</v>
      </c>
    </row>
  </sheetData>
  <sheetProtection/>
  <mergeCells count="33">
    <mergeCell ref="W3:AF3"/>
    <mergeCell ref="AG3:AK4"/>
    <mergeCell ref="C4:G4"/>
    <mergeCell ref="H4:L4"/>
    <mergeCell ref="M4:Q4"/>
    <mergeCell ref="R4:V4"/>
    <mergeCell ref="W4:AA4"/>
    <mergeCell ref="AB4:AF4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G5:G6"/>
    <mergeCell ref="H5:H6"/>
    <mergeCell ref="W5:W6"/>
    <mergeCell ref="X5:Z5"/>
    <mergeCell ref="Q5:Q6"/>
    <mergeCell ref="R5:R6"/>
    <mergeCell ref="S5:U5"/>
    <mergeCell ref="V5:V6"/>
    <mergeCell ref="AK5:AK6"/>
    <mergeCell ref="AA5:AA6"/>
    <mergeCell ref="AB5:AB6"/>
    <mergeCell ref="AC5:AE5"/>
    <mergeCell ref="AF5:AF6"/>
    <mergeCell ref="AG5:AG6"/>
    <mergeCell ref="AH5:AJ5"/>
  </mergeCells>
  <printOptions horizontalCentered="1" vertic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90" zoomScalePageLayoutView="0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3" sqref="I3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4.14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9.8515625" style="0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3" customFormat="1" ht="15">
      <c r="U1" s="380" t="s">
        <v>114</v>
      </c>
    </row>
    <row r="2" spans="2:11" ht="14.25">
      <c r="B2" s="2" t="str">
        <f>'Anne-2'!B2</f>
        <v>No. 1-2(1)/Market Share/2013-CP&amp;M </v>
      </c>
      <c r="C2" s="2"/>
      <c r="D2" s="2"/>
      <c r="E2" s="2"/>
      <c r="F2" s="2"/>
      <c r="G2" s="2"/>
      <c r="H2" s="2"/>
      <c r="I2" s="2"/>
      <c r="J2" s="2"/>
      <c r="K2" s="2"/>
    </row>
    <row r="3" ht="9" customHeight="1"/>
    <row r="4" spans="2:3" ht="15">
      <c r="B4" s="26" t="s">
        <v>266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631" t="s">
        <v>62</v>
      </c>
      <c r="B6" s="633" t="s">
        <v>63</v>
      </c>
      <c r="C6" s="631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630" t="s">
        <v>69</v>
      </c>
      <c r="U6" s="630" t="s">
        <v>70</v>
      </c>
      <c r="V6" s="630" t="s">
        <v>106</v>
      </c>
      <c r="W6" s="629" t="s">
        <v>121</v>
      </c>
      <c r="X6" s="627" t="s">
        <v>101</v>
      </c>
      <c r="Y6" s="47"/>
      <c r="Z6" s="80" t="s">
        <v>262</v>
      </c>
      <c r="AA6" s="48"/>
    </row>
    <row r="7" spans="1:27" ht="43.5" customHeight="1">
      <c r="A7" s="632"/>
      <c r="B7" s="633"/>
      <c r="C7" s="632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5" t="s">
        <v>136</v>
      </c>
      <c r="P7" s="165" t="s">
        <v>146</v>
      </c>
      <c r="Q7" s="50" t="s">
        <v>203</v>
      </c>
      <c r="R7" s="50" t="s">
        <v>202</v>
      </c>
      <c r="S7" s="49" t="s">
        <v>201</v>
      </c>
      <c r="T7" s="630"/>
      <c r="U7" s="630"/>
      <c r="V7" s="630"/>
      <c r="W7" s="628"/>
      <c r="X7" s="628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89"/>
      <c r="W8" s="57"/>
      <c r="X8" s="57"/>
      <c r="Y8" s="36">
        <f>Z8+AA8</f>
        <v>485.28942104756766</v>
      </c>
      <c r="Z8" s="58">
        <v>184.45448962670844</v>
      </c>
      <c r="AA8" s="58">
        <v>300.8349314208592</v>
      </c>
      <c r="AC8" s="73">
        <v>192.9999999999999</v>
      </c>
      <c r="AD8" s="73">
        <v>301</v>
      </c>
      <c r="AO8">
        <v>13.774230059876057</v>
      </c>
    </row>
    <row r="9" spans="1:41" ht="15">
      <c r="A9" s="5">
        <v>2</v>
      </c>
      <c r="B9" s="6" t="s">
        <v>22</v>
      </c>
      <c r="C9" s="85">
        <v>3</v>
      </c>
      <c r="D9" s="36">
        <f>'Anne-6'!D10+'Anne-7'!F10+'Anne-8'!D10</f>
        <v>11187673</v>
      </c>
      <c r="E9" s="56"/>
      <c r="F9" s="36">
        <f>D9+E9</f>
        <v>11187673</v>
      </c>
      <c r="G9" s="84">
        <f>'Anne-6'!G10+'Anne-8'!H10</f>
        <v>19028010</v>
      </c>
      <c r="H9" s="8">
        <f>'Anne-6'!S10+'Anne-7'!I10+'Anne-8'!I10</f>
        <v>5926678</v>
      </c>
      <c r="I9" s="36">
        <f>'Anne-6'!I10+'Anne-8'!M10</f>
        <v>5869742</v>
      </c>
      <c r="J9" s="36">
        <f>G9-D9</f>
        <v>7840337</v>
      </c>
      <c r="K9" s="105">
        <f>J9/D9</f>
        <v>0.7008014088363148</v>
      </c>
      <c r="L9" s="8">
        <f>'Anne-8'!J10+'Anne-7'!J10</f>
        <v>6587765</v>
      </c>
      <c r="M9" s="84">
        <f>'Anne-6'!N10</f>
        <v>11981302</v>
      </c>
      <c r="N9" s="36">
        <f>'Anne-6'!K10</f>
        <v>1858428</v>
      </c>
      <c r="O9" s="36">
        <f>'Anne-6'!V10</f>
        <v>4414731</v>
      </c>
      <c r="P9" s="36">
        <f>'Anne-6'!W10</f>
        <v>0</v>
      </c>
      <c r="Q9" s="36">
        <f>+'Anne-7'!L10+'Anne-8'!L10</f>
        <v>0</v>
      </c>
      <c r="R9" s="36"/>
      <c r="S9" s="36"/>
      <c r="T9" s="36">
        <f aca="true" t="shared" si="1" ref="T9:T37">G9+H9+L9+I9+M9+N9+S9+R9+Q9+O9+P9</f>
        <v>55666656</v>
      </c>
      <c r="U9" s="36">
        <f t="shared" si="0"/>
        <v>66854329</v>
      </c>
      <c r="V9" s="139">
        <f>D9/U9*100</f>
        <v>16.734403242608266</v>
      </c>
      <c r="W9" s="57">
        <f>U9/(X9*1000)</f>
        <v>0.7720746386728337</v>
      </c>
      <c r="X9" s="59">
        <f>Y9</f>
        <v>86590.5</v>
      </c>
      <c r="Y9" s="36">
        <f aca="true" t="shared" si="2" ref="Y9:Y37">Z9+AA9</f>
        <v>86590.5</v>
      </c>
      <c r="Z9" s="58">
        <v>23973</v>
      </c>
      <c r="AA9" s="58">
        <v>62617.5</v>
      </c>
      <c r="AC9" s="73">
        <v>23487</v>
      </c>
      <c r="AD9" s="73">
        <v>61248</v>
      </c>
      <c r="AO9">
        <v>15.992765979229496</v>
      </c>
    </row>
    <row r="10" spans="1:41" ht="15">
      <c r="A10" s="5">
        <v>3</v>
      </c>
      <c r="B10" s="6" t="s">
        <v>23</v>
      </c>
      <c r="C10" s="85">
        <v>5</v>
      </c>
      <c r="D10" s="36">
        <f>'Anne-6'!D11+'Anne-7'!F11+'Anne-8'!D11</f>
        <v>1440590</v>
      </c>
      <c r="E10" s="56"/>
      <c r="F10" s="36">
        <f aca="true" t="shared" si="3" ref="F10:F36">D10+E10</f>
        <v>1440590</v>
      </c>
      <c r="G10" s="84">
        <f>'Anne-6'!G11+'Anne-8'!H11</f>
        <v>4196065</v>
      </c>
      <c r="H10" s="84">
        <f>'Anne-6'!S11+'Anne-7'!I11+'Anne-8'!I11</f>
        <v>2596410</v>
      </c>
      <c r="I10" s="84">
        <f>'Anne-6'!I11+'Anne-8'!M11</f>
        <v>2556786</v>
      </c>
      <c r="J10" s="36"/>
      <c r="K10" s="36"/>
      <c r="L10" s="8">
        <f>'Anne-8'!J11+'Anne-7'!J11</f>
        <v>0</v>
      </c>
      <c r="M10" s="8">
        <f>'Anne-6'!N11</f>
        <v>476682</v>
      </c>
      <c r="N10" s="84">
        <f>'Anne-6'!K11</f>
        <v>3588972</v>
      </c>
      <c r="O10" s="36">
        <f>'Anne-6'!V11</f>
        <v>0</v>
      </c>
      <c r="P10" s="36">
        <f>'Anne-6'!W11</f>
        <v>0</v>
      </c>
      <c r="Q10" s="36">
        <f>+'Anne-7'!L11+'Anne-8'!L11</f>
        <v>0</v>
      </c>
      <c r="R10" s="36"/>
      <c r="S10" s="36"/>
      <c r="T10" s="36">
        <f t="shared" si="1"/>
        <v>13414915</v>
      </c>
      <c r="U10" s="36">
        <f t="shared" si="0"/>
        <v>14855505</v>
      </c>
      <c r="V10" s="139">
        <f>D10/U10*100</f>
        <v>9.697347885514494</v>
      </c>
      <c r="W10" s="57">
        <f aca="true" t="shared" si="4" ref="W10:W37">U10/(X10*1000)</f>
        <v>0.47151352123405055</v>
      </c>
      <c r="X10" s="59">
        <f aca="true" t="shared" si="5" ref="X10:X36">Y10</f>
        <v>31506.000000000007</v>
      </c>
      <c r="Y10" s="36">
        <f t="shared" si="2"/>
        <v>31506.000000000007</v>
      </c>
      <c r="Z10" s="58">
        <v>4822</v>
      </c>
      <c r="AA10" s="58">
        <v>26684.000000000007</v>
      </c>
      <c r="AC10" s="73">
        <v>4571.000000000004</v>
      </c>
      <c r="AD10" s="73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5">
        <v>7</v>
      </c>
      <c r="D11" s="36">
        <f>'Anne-6'!D12+'Anne-7'!F12+'Anne-8'!D12</f>
        <v>4097804</v>
      </c>
      <c r="E11" s="56"/>
      <c r="F11" s="36">
        <f t="shared" si="3"/>
        <v>4097804</v>
      </c>
      <c r="G11" s="84">
        <f>'Anne-6'!G12+'Anne-8'!H12</f>
        <v>20518049</v>
      </c>
      <c r="H11" s="84">
        <f>'Anne-6'!S12+'Anne-7'!I12+'Anne-8'!I12</f>
        <v>8824067</v>
      </c>
      <c r="I11" s="84">
        <f>'Anne-6'!I12+'Anne-8'!M12</f>
        <v>6747850</v>
      </c>
      <c r="J11" s="36">
        <f>G11-D11</f>
        <v>16420245</v>
      </c>
      <c r="K11" s="105">
        <f>J11/D11</f>
        <v>4.007084038182402</v>
      </c>
      <c r="L11" s="8">
        <f>'Anne-8'!J12+'Anne-7'!J12</f>
        <v>3283109</v>
      </c>
      <c r="M11" s="84">
        <f>'Anne-6'!N12</f>
        <v>6164066</v>
      </c>
      <c r="N11" s="84">
        <f>'Anne-6'!K12</f>
        <v>4677210</v>
      </c>
      <c r="O11" s="84">
        <f>'Anne-6'!V12</f>
        <v>4398886</v>
      </c>
      <c r="P11" s="36">
        <f>'Anne-6'!W12</f>
        <v>0</v>
      </c>
      <c r="Q11" s="36">
        <f>+'Anne-7'!L12+'Anne-8'!L12</f>
        <v>0</v>
      </c>
      <c r="R11" s="36"/>
      <c r="S11" s="36"/>
      <c r="T11" s="36">
        <f t="shared" si="1"/>
        <v>54613237</v>
      </c>
      <c r="U11" s="36">
        <f t="shared" si="0"/>
        <v>58711041</v>
      </c>
      <c r="V11" s="139">
        <f>D11/U11*100</f>
        <v>6.979613936669936</v>
      </c>
      <c r="W11" s="57">
        <f t="shared" si="4"/>
        <v>0.43992312908603853</v>
      </c>
      <c r="X11" s="59">
        <f>Y11+Y17</f>
        <v>133457.50000000003</v>
      </c>
      <c r="Y11" s="36">
        <f t="shared" si="2"/>
        <v>100917.31468705153</v>
      </c>
      <c r="Z11" s="58">
        <v>10676.963018358843</v>
      </c>
      <c r="AA11" s="58">
        <v>90240.35166869269</v>
      </c>
      <c r="AC11" s="73">
        <v>10279.999999999993</v>
      </c>
      <c r="AD11" s="73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5"/>
      <c r="D12" s="36"/>
      <c r="E12" s="56"/>
      <c r="F12" s="36"/>
      <c r="G12" s="8"/>
      <c r="H12" s="36"/>
      <c r="I12" s="36"/>
      <c r="J12" s="36"/>
      <c r="K12" s="36"/>
      <c r="L12" s="8"/>
      <c r="M12" s="36"/>
      <c r="N12" s="36"/>
      <c r="O12" s="36"/>
      <c r="P12" s="36"/>
      <c r="Q12" s="36"/>
      <c r="R12" s="36"/>
      <c r="S12" s="36"/>
      <c r="T12" s="36">
        <f t="shared" si="1"/>
        <v>0</v>
      </c>
      <c r="U12" s="36">
        <f t="shared" si="0"/>
        <v>0</v>
      </c>
      <c r="V12" s="139"/>
      <c r="W12" s="57" t="e">
        <f t="shared" si="4"/>
        <v>#DIV/0!</v>
      </c>
      <c r="X12" s="59"/>
      <c r="Y12" s="36">
        <f t="shared" si="2"/>
        <v>25233.20336858165</v>
      </c>
      <c r="Z12" s="58">
        <v>5846.672066514138</v>
      </c>
      <c r="AA12" s="58">
        <v>19386.531302067513</v>
      </c>
      <c r="AC12" s="73">
        <v>5599.999999999996</v>
      </c>
      <c r="AD12" s="73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5">
        <v>5</v>
      </c>
      <c r="D13" s="36">
        <f>'Anne-6'!D14+'Anne-7'!F14+'Anne-8'!D14</f>
        <v>5823833</v>
      </c>
      <c r="E13" s="56"/>
      <c r="F13" s="36">
        <f t="shared" si="3"/>
        <v>5823833</v>
      </c>
      <c r="G13" s="84">
        <f>'Anne-6'!G14+'Anne-8'!H14</f>
        <v>7173252</v>
      </c>
      <c r="H13" s="84">
        <f>'Anne-6'!S14+'Anne-7'!I14+'Anne-8'!I14</f>
        <v>8915270</v>
      </c>
      <c r="I13" s="84">
        <f>'Anne-6'!I14+'Anne-8'!M14</f>
        <v>16519390</v>
      </c>
      <c r="J13" s="36">
        <f>I13-D13</f>
        <v>10695557</v>
      </c>
      <c r="K13" s="105">
        <f>J13/D13</f>
        <v>1.836515058038237</v>
      </c>
      <c r="L13" s="8">
        <f>'Anne-8'!J14+'Anne-7'!J14</f>
        <v>2701073</v>
      </c>
      <c r="M13" s="84">
        <f>'Anne-6'!N14</f>
        <v>8690983</v>
      </c>
      <c r="N13" s="36">
        <f>'Anne-6'!K14</f>
        <v>35773</v>
      </c>
      <c r="O13" s="36">
        <f>'Anne-6'!V14</f>
        <v>4960851</v>
      </c>
      <c r="P13" s="36">
        <f>'Anne-6'!W14</f>
        <v>988327</v>
      </c>
      <c r="Q13" s="36">
        <f>+'Anne-7'!L14+'Anne-8'!L14</f>
        <v>175572</v>
      </c>
      <c r="R13" s="36"/>
      <c r="S13" s="36"/>
      <c r="T13" s="36">
        <f t="shared" si="1"/>
        <v>50160491</v>
      </c>
      <c r="U13" s="36">
        <f t="shared" si="0"/>
        <v>55984324</v>
      </c>
      <c r="V13" s="139">
        <f>D13/U13*100</f>
        <v>10.402613774527312</v>
      </c>
      <c r="W13" s="57">
        <f t="shared" si="4"/>
        <v>0.9082098227683824</v>
      </c>
      <c r="X13" s="59">
        <f t="shared" si="5"/>
        <v>61642.49999999999</v>
      </c>
      <c r="Y13" s="36">
        <f t="shared" si="2"/>
        <v>61642.49999999999</v>
      </c>
      <c r="Z13" s="58">
        <v>25332.499999999993</v>
      </c>
      <c r="AA13" s="58">
        <v>36310</v>
      </c>
      <c r="AC13" s="73">
        <v>24045.999999999985</v>
      </c>
      <c r="AD13" s="73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5">
        <v>3</v>
      </c>
      <c r="D14" s="36">
        <f>'Anne-6'!D15+'Anne-7'!F15+'Anne-8'!D15</f>
        <v>3554078</v>
      </c>
      <c r="E14" s="56"/>
      <c r="F14" s="36">
        <f t="shared" si="3"/>
        <v>3554078</v>
      </c>
      <c r="G14" s="8">
        <f>'Anne-6'!G15+'Anne-8'!H15</f>
        <v>2358090</v>
      </c>
      <c r="H14" s="8">
        <f>'Anne-6'!S15+'Anne-7'!I15+'Anne-8'!I15</f>
        <v>2137502</v>
      </c>
      <c r="I14" s="84">
        <f>'Anne-6'!I15+'Anne-8'!M15</f>
        <v>4681335</v>
      </c>
      <c r="J14" s="36"/>
      <c r="K14" s="36"/>
      <c r="L14" s="8">
        <f>'Anne-8'!J15+'Anne-7'!J15</f>
        <v>2668311</v>
      </c>
      <c r="M14" s="84">
        <f>'Anne-6'!N15</f>
        <v>3882250</v>
      </c>
      <c r="N14" s="36">
        <f>'Anne-6'!K15</f>
        <v>11092</v>
      </c>
      <c r="O14" s="36">
        <f>'Anne-6'!V15</f>
        <v>0</v>
      </c>
      <c r="P14" s="36">
        <f>'Anne-6'!W15</f>
        <v>1131142</v>
      </c>
      <c r="Q14" s="36">
        <f>+'Anne-7'!L15+'Anne-8'!L15</f>
        <v>0</v>
      </c>
      <c r="R14" s="36"/>
      <c r="S14" s="36"/>
      <c r="T14" s="36">
        <f t="shared" si="1"/>
        <v>16869722</v>
      </c>
      <c r="U14" s="36">
        <f t="shared" si="0"/>
        <v>20423800</v>
      </c>
      <c r="V14" s="139">
        <f>D14/U14*100</f>
        <v>17.401649056492914</v>
      </c>
      <c r="W14" s="57">
        <f t="shared" si="4"/>
        <v>0.7715683496722766</v>
      </c>
      <c r="X14" s="59">
        <f t="shared" si="5"/>
        <v>26470.500000000004</v>
      </c>
      <c r="Y14" s="36">
        <f t="shared" si="2"/>
        <v>26470.500000000004</v>
      </c>
      <c r="Z14" s="58">
        <v>9231.000000000004</v>
      </c>
      <c r="AA14" s="58">
        <v>17239.5</v>
      </c>
      <c r="AC14" s="73">
        <v>8555.999999999993</v>
      </c>
      <c r="AD14" s="73">
        <v>16883</v>
      </c>
      <c r="AO14">
        <v>20.876024789608948</v>
      </c>
    </row>
    <row r="15" spans="1:41" s="447" customFormat="1" ht="15">
      <c r="A15" s="442">
        <v>8</v>
      </c>
      <c r="B15" s="443" t="s">
        <v>28</v>
      </c>
      <c r="C15" s="442">
        <v>2</v>
      </c>
      <c r="D15" s="96">
        <f>'Anne-6'!D16+'Anne-7'!F16+'Anne-8'!D16</f>
        <v>1791969</v>
      </c>
      <c r="E15" s="449"/>
      <c r="F15" s="96">
        <f t="shared" si="3"/>
        <v>1791969</v>
      </c>
      <c r="G15" s="93">
        <f>'Anne-6'!G16+'Anne-8'!H16</f>
        <v>2090603</v>
      </c>
      <c r="H15" s="70">
        <f>'Anne-6'!S16+'Anne-7'!I16+'Anne-8'!I16</f>
        <v>1470539</v>
      </c>
      <c r="I15" s="36">
        <f>'Anne-6'!I16+'Anne-8'!M16</f>
        <v>534203</v>
      </c>
      <c r="J15" s="96"/>
      <c r="K15" s="96"/>
      <c r="L15" s="70">
        <f>'Anne-8'!J16+'Anne-7'!J16</f>
        <v>151902</v>
      </c>
      <c r="M15" s="96">
        <f>'Anne-6'!N16</f>
        <v>513452</v>
      </c>
      <c r="N15" s="96">
        <f>'Anne-6'!K16</f>
        <v>742881</v>
      </c>
      <c r="O15" s="96">
        <f>'Anne-6'!V16</f>
        <v>0</v>
      </c>
      <c r="P15" s="96">
        <f>'Anne-6'!W16</f>
        <v>0</v>
      </c>
      <c r="Q15" s="96">
        <f>+'Anne-7'!L16+'Anne-8'!L16</f>
        <v>0</v>
      </c>
      <c r="R15" s="96"/>
      <c r="S15" s="96"/>
      <c r="T15" s="96">
        <f t="shared" si="1"/>
        <v>5503580</v>
      </c>
      <c r="U15" s="96">
        <f t="shared" si="0"/>
        <v>7295549</v>
      </c>
      <c r="V15" s="450">
        <f>D15/U15*100</f>
        <v>24.562496941628382</v>
      </c>
      <c r="W15" s="451">
        <f t="shared" si="4"/>
        <v>1.05002144502015</v>
      </c>
      <c r="X15" s="452">
        <f t="shared" si="5"/>
        <v>6947.999999999998</v>
      </c>
      <c r="Y15" s="96">
        <f t="shared" si="2"/>
        <v>6947.999999999998</v>
      </c>
      <c r="Z15" s="86">
        <v>790.4999999999998</v>
      </c>
      <c r="AA15" s="86">
        <v>6157.499999999998</v>
      </c>
      <c r="AC15" s="453">
        <v>750.0000000000005</v>
      </c>
      <c r="AD15" s="453">
        <v>6042.999999999996</v>
      </c>
      <c r="AO15" s="447">
        <v>15.143006936224735</v>
      </c>
    </row>
    <row r="16" spans="1:41" ht="15">
      <c r="A16" s="5">
        <v>9</v>
      </c>
      <c r="B16" s="6" t="s">
        <v>29</v>
      </c>
      <c r="C16" s="85">
        <v>3</v>
      </c>
      <c r="D16" s="36">
        <f>'Anne-6'!D17+'Anne-7'!F17+'Anne-8'!D17</f>
        <v>1422175</v>
      </c>
      <c r="E16" s="56"/>
      <c r="F16" s="36">
        <f t="shared" si="3"/>
        <v>1422175</v>
      </c>
      <c r="G16" s="84">
        <f>'Anne-6'!G17+'Anne-8'!H17</f>
        <v>2532977</v>
      </c>
      <c r="H16" s="36">
        <f>'Anne-6'!S17+'Anne-7'!I17+'Anne-8'!I17</f>
        <v>672626</v>
      </c>
      <c r="I16" s="36">
        <f>'Anne-6'!I17+'Anne-8'!M17</f>
        <v>687681</v>
      </c>
      <c r="J16" s="36"/>
      <c r="K16" s="36"/>
      <c r="L16" s="8">
        <f>'Anne-8'!J17+'Anne-7'!J17</f>
        <v>0</v>
      </c>
      <c r="M16" s="36">
        <f>'Anne-6'!N17</f>
        <v>267487</v>
      </c>
      <c r="N16" s="84">
        <f>'Anne-6'!K17</f>
        <v>2014339</v>
      </c>
      <c r="O16" s="36">
        <f>'Anne-6'!V17</f>
        <v>0</v>
      </c>
      <c r="P16" s="36">
        <f>'Anne-6'!W17</f>
        <v>0</v>
      </c>
      <c r="Q16" s="36">
        <f>+'Anne-7'!L17+'Anne-8'!L17</f>
        <v>0</v>
      </c>
      <c r="R16" s="36"/>
      <c r="S16" s="36"/>
      <c r="T16" s="36">
        <f t="shared" si="1"/>
        <v>6175110</v>
      </c>
      <c r="U16" s="36">
        <f t="shared" si="0"/>
        <v>7597285</v>
      </c>
      <c r="V16" s="139">
        <f>D16/U16*100</f>
        <v>18.71951624823868</v>
      </c>
      <c r="W16" s="57">
        <f t="shared" si="4"/>
        <v>0.6288622630576939</v>
      </c>
      <c r="X16" s="59">
        <f t="shared" si="5"/>
        <v>12081</v>
      </c>
      <c r="Y16" s="36">
        <f t="shared" si="2"/>
        <v>12081</v>
      </c>
      <c r="Z16" s="58">
        <v>3303.000000000001</v>
      </c>
      <c r="AA16" s="58">
        <v>8778</v>
      </c>
      <c r="AC16" s="73">
        <v>3143.000000000002</v>
      </c>
      <c r="AD16" s="73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5"/>
      <c r="D17" s="36"/>
      <c r="E17" s="56"/>
      <c r="F17" s="36"/>
      <c r="G17" s="8"/>
      <c r="H17" s="36"/>
      <c r="I17" s="36"/>
      <c r="J17" s="36"/>
      <c r="K17" s="36"/>
      <c r="L17" s="8"/>
      <c r="M17" s="36"/>
      <c r="N17" s="36"/>
      <c r="O17" s="36"/>
      <c r="P17" s="36"/>
      <c r="Q17" s="36"/>
      <c r="R17" s="36"/>
      <c r="S17" s="36"/>
      <c r="T17" s="36">
        <f t="shared" si="1"/>
        <v>0</v>
      </c>
      <c r="U17" s="36">
        <f t="shared" si="0"/>
        <v>0</v>
      </c>
      <c r="V17" s="139"/>
      <c r="W17" s="57" t="e">
        <f t="shared" si="4"/>
        <v>#DIV/0!</v>
      </c>
      <c r="X17" s="59"/>
      <c r="Y17" s="36">
        <f t="shared" si="2"/>
        <v>32540.18531294849</v>
      </c>
      <c r="Z17" s="58">
        <v>7553.536981641155</v>
      </c>
      <c r="AA17" s="58">
        <v>24986.648331307337</v>
      </c>
      <c r="AC17" s="73">
        <v>7330.000000000004</v>
      </c>
      <c r="AD17" s="73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5">
        <v>2</v>
      </c>
      <c r="D18" s="36">
        <f>'Anne-6'!D19+'Anne-7'!F19+'Anne-8'!D19</f>
        <v>8715166</v>
      </c>
      <c r="E18" s="56"/>
      <c r="F18" s="36">
        <f t="shared" si="3"/>
        <v>8715166</v>
      </c>
      <c r="G18" s="84">
        <f>'Anne-6'!G19+'Anne-8'!H19</f>
        <v>17052597</v>
      </c>
      <c r="H18" s="8">
        <f>'Anne-6'!S19+'Anne-7'!I19+'Anne-8'!I19</f>
        <v>6396451</v>
      </c>
      <c r="I18" s="36">
        <f>'Anne-6'!I19+'Anne-8'!M19</f>
        <v>6925192</v>
      </c>
      <c r="J18" s="36">
        <f>G18-D18</f>
        <v>8337431</v>
      </c>
      <c r="K18" s="105">
        <f>J18/D18</f>
        <v>0.9566577389346341</v>
      </c>
      <c r="L18" s="8">
        <f>'Anne-8'!J19+'Anne-7'!J19</f>
        <v>5997117</v>
      </c>
      <c r="M18" s="36">
        <f>'Anne-6'!N19</f>
        <v>6586224</v>
      </c>
      <c r="N18" s="36">
        <f>'Anne-6'!K19</f>
        <v>2201043</v>
      </c>
      <c r="O18" s="36">
        <f>'Anne-6'!V19</f>
        <v>0</v>
      </c>
      <c r="P18" s="36">
        <f>'Anne-6'!W19</f>
        <v>0</v>
      </c>
      <c r="Q18" s="36">
        <f>+'Anne-7'!L19+'Anne-8'!L19</f>
        <v>1924172</v>
      </c>
      <c r="R18" s="36"/>
      <c r="S18" s="36"/>
      <c r="T18" s="36">
        <f t="shared" si="1"/>
        <v>47082796</v>
      </c>
      <c r="U18" s="36">
        <f t="shared" si="0"/>
        <v>55797962</v>
      </c>
      <c r="V18" s="139">
        <f>D18/U18*100</f>
        <v>15.619147523703464</v>
      </c>
      <c r="W18" s="57">
        <f t="shared" si="4"/>
        <v>0.9159369326482709</v>
      </c>
      <c r="X18" s="59">
        <f t="shared" si="5"/>
        <v>60918.999999999985</v>
      </c>
      <c r="Y18" s="36">
        <f t="shared" si="2"/>
        <v>60918.999999999985</v>
      </c>
      <c r="Z18" s="58">
        <v>22944</v>
      </c>
      <c r="AA18" s="58">
        <v>37974.999999999985</v>
      </c>
      <c r="AC18" s="73">
        <v>22097.999999999985</v>
      </c>
      <c r="AD18" s="73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4">
        <v>1</v>
      </c>
      <c r="D19" s="36">
        <f>'Anne-6'!D20+'Anne-7'!F20+'Anne-8'!D20</f>
        <v>10888454</v>
      </c>
      <c r="E19" s="56"/>
      <c r="F19" s="36">
        <f t="shared" si="3"/>
        <v>10888454</v>
      </c>
      <c r="G19" s="8">
        <f>'Anne-6'!G20+'Anne-8'!H20</f>
        <v>3649056</v>
      </c>
      <c r="H19" s="36">
        <f>'Anne-6'!S20+'Anne-7'!I20+'Anne-8'!I20</f>
        <v>2384229</v>
      </c>
      <c r="I19" s="36">
        <f>'Anne-6'!I20+'Anne-8'!M20</f>
        <v>6489482</v>
      </c>
      <c r="J19" s="36"/>
      <c r="K19" s="36"/>
      <c r="L19" s="8">
        <f>'Anne-8'!J20+'Anne-7'!J20</f>
        <v>1665878</v>
      </c>
      <c r="M19" s="36">
        <f>'Anne-6'!N20</f>
        <v>8466741</v>
      </c>
      <c r="N19" s="36">
        <f>'Anne-6'!K20</f>
        <v>4883</v>
      </c>
      <c r="O19" s="36">
        <f>'Anne-6'!V20</f>
        <v>0</v>
      </c>
      <c r="P19" s="36">
        <f>'Anne-6'!W20</f>
        <v>0</v>
      </c>
      <c r="Q19" s="36">
        <f>+'Anne-7'!L20+'Anne-8'!L20</f>
        <v>436353</v>
      </c>
      <c r="R19" s="36"/>
      <c r="S19" s="36"/>
      <c r="T19" s="36">
        <f t="shared" si="1"/>
        <v>23096622</v>
      </c>
      <c r="U19" s="36">
        <f t="shared" si="0"/>
        <v>33985076</v>
      </c>
      <c r="V19" s="139">
        <f>D19/U19*100</f>
        <v>32.038927910592285</v>
      </c>
      <c r="W19" s="57">
        <f t="shared" si="4"/>
        <v>0.9648409726461027</v>
      </c>
      <c r="X19" s="59">
        <f t="shared" si="5"/>
        <v>35223.5</v>
      </c>
      <c r="Y19" s="36">
        <f t="shared" si="2"/>
        <v>35223.5</v>
      </c>
      <c r="Z19" s="58">
        <v>8941</v>
      </c>
      <c r="AA19" s="58">
        <v>26282.5</v>
      </c>
      <c r="AC19" s="73">
        <v>8850.999999999993</v>
      </c>
      <c r="AD19" s="73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5">
        <v>4</v>
      </c>
      <c r="D20" s="36">
        <f>'Anne-6'!D21+'Anne-7'!F21+'Anne-8'!D21</f>
        <v>5979787</v>
      </c>
      <c r="E20" s="56"/>
      <c r="F20" s="36">
        <f t="shared" si="3"/>
        <v>5979787</v>
      </c>
      <c r="G20" s="84">
        <f>'Anne-6'!G21+'Anne-8'!H21</f>
        <v>10441158</v>
      </c>
      <c r="H20" s="84">
        <f>'Anne-6'!S21+'Anne-7'!I21+'Anne-8'!I21</f>
        <v>20812548</v>
      </c>
      <c r="I20" s="36">
        <f>'Anne-6'!I21+'Anne-8'!M21</f>
        <v>4256729</v>
      </c>
      <c r="J20" s="36">
        <f>H20-D20</f>
        <v>14832761</v>
      </c>
      <c r="K20" s="105">
        <f>J20/D20</f>
        <v>2.4804831677114922</v>
      </c>
      <c r="L20" s="8">
        <f>'Anne-8'!J21+'Anne-7'!J21</f>
        <v>3946665</v>
      </c>
      <c r="M20" s="84">
        <f>'Anne-6'!N21</f>
        <v>16295647</v>
      </c>
      <c r="N20" s="36">
        <f>'Anne-6'!K21</f>
        <v>22694</v>
      </c>
      <c r="O20" s="36">
        <f>'Anne-6'!V21</f>
        <v>0</v>
      </c>
      <c r="P20" s="36">
        <f>'Anne-6'!W21</f>
        <v>1125094</v>
      </c>
      <c r="Q20" s="36">
        <f>+'Anne-7'!L21+'Anne-8'!L21</f>
        <v>0</v>
      </c>
      <c r="R20" s="36"/>
      <c r="S20" s="36"/>
      <c r="T20" s="36">
        <f t="shared" si="1"/>
        <v>56900535</v>
      </c>
      <c r="U20" s="36">
        <f t="shared" si="0"/>
        <v>62880322</v>
      </c>
      <c r="V20" s="139">
        <f>D20/U20*100</f>
        <v>9.509790678234758</v>
      </c>
      <c r="W20" s="57">
        <f t="shared" si="4"/>
        <v>0.6280589701204073</v>
      </c>
      <c r="X20" s="59">
        <f>Y20+Y12</f>
        <v>100118.5</v>
      </c>
      <c r="Y20" s="36">
        <f>Z20+AA20</f>
        <v>74885.29663141836</v>
      </c>
      <c r="Z20" s="58">
        <v>21148.82793348584</v>
      </c>
      <c r="AA20" s="58">
        <v>53736.46869793252</v>
      </c>
      <c r="AC20" s="73">
        <v>19986.000000000015</v>
      </c>
      <c r="AD20" s="73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5">
        <v>4</v>
      </c>
      <c r="D21" s="36">
        <f>'Anne-6'!D22+'Anne-7'!F22+'Anne-8'!D22</f>
        <v>8555130</v>
      </c>
      <c r="E21" s="56"/>
      <c r="F21" s="36">
        <f t="shared" si="3"/>
        <v>8555130</v>
      </c>
      <c r="G21" s="84">
        <f>'Anne-6'!G22+'Anne-8'!H22</f>
        <v>10295129</v>
      </c>
      <c r="H21" s="8">
        <f>'Anne-6'!S22+'Anne-7'!I22+'Anne-8'!I22</f>
        <v>7289322</v>
      </c>
      <c r="I21" s="84">
        <f>'Anne-6'!I22+'Anne-8'!M22</f>
        <v>14079683</v>
      </c>
      <c r="J21" s="36"/>
      <c r="K21" s="36"/>
      <c r="L21" s="8">
        <f>'Anne-8'!J22+'Anne-7'!J22</f>
        <v>6322078</v>
      </c>
      <c r="M21" s="84">
        <f>'Anne-6'!N22</f>
        <v>17421267</v>
      </c>
      <c r="N21" s="36">
        <f>'Anne-6'!K22</f>
        <v>1312246</v>
      </c>
      <c r="O21" s="36">
        <f>'Anne-6'!V22</f>
        <v>5770597</v>
      </c>
      <c r="P21" s="36">
        <f>'Anne-6'!W22</f>
        <v>0</v>
      </c>
      <c r="Q21" s="36">
        <f>+'Anne-7'!L22+'Anne-8'!L22</f>
        <v>0</v>
      </c>
      <c r="R21" s="36"/>
      <c r="S21" s="36"/>
      <c r="T21" s="36">
        <f t="shared" si="1"/>
        <v>62490322</v>
      </c>
      <c r="U21" s="36">
        <f t="shared" si="0"/>
        <v>71045452</v>
      </c>
      <c r="V21" s="139">
        <f>D21/U21*100</f>
        <v>12.041770105143394</v>
      </c>
      <c r="W21" s="57">
        <f t="shared" si="4"/>
        <v>0.736286219606703</v>
      </c>
      <c r="X21" s="59">
        <f t="shared" si="5"/>
        <v>96491.6225621469</v>
      </c>
      <c r="Y21" s="36">
        <f t="shared" si="2"/>
        <v>96491.6225621469</v>
      </c>
      <c r="Z21" s="58">
        <v>33676.122562146906</v>
      </c>
      <c r="AA21" s="58">
        <v>62815.5</v>
      </c>
      <c r="AC21" s="73">
        <v>32229.454713109284</v>
      </c>
      <c r="AD21" s="73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5">
        <v>3</v>
      </c>
      <c r="D22" s="36">
        <f>'Anne-6'!D23+'Anne-7'!F23+'Anne-8'!D23</f>
        <v>1952446</v>
      </c>
      <c r="E22" s="56"/>
      <c r="F22" s="36">
        <f t="shared" si="3"/>
        <v>1952446</v>
      </c>
      <c r="G22" s="84">
        <f>'Anne-6'!G23+'Anne-8'!H23</f>
        <v>2852276</v>
      </c>
      <c r="H22" s="36">
        <f>'Anne-6'!S23+'Anne-7'!I23+'Anne-8'!I23</f>
        <v>992057</v>
      </c>
      <c r="I22" s="36">
        <f>'Anne-6'!I23+'Anne-8'!M23</f>
        <v>1045692</v>
      </c>
      <c r="J22" s="36"/>
      <c r="K22" s="36"/>
      <c r="L22" s="8">
        <f>'Anne-8'!J23+'Anne-7'!J23</f>
        <v>0</v>
      </c>
      <c r="M22" s="36">
        <f>'Anne-6'!N23</f>
        <v>328482</v>
      </c>
      <c r="N22" s="84">
        <f>'Anne-6'!K23</f>
        <v>2352414</v>
      </c>
      <c r="O22" s="36">
        <f>'Anne-6'!V23</f>
        <v>0</v>
      </c>
      <c r="P22" s="36">
        <f>'Anne-6'!W23</f>
        <v>0</v>
      </c>
      <c r="Q22" s="36">
        <f>+'Anne-7'!L23+'Anne-8'!L23</f>
        <v>0</v>
      </c>
      <c r="R22" s="36"/>
      <c r="S22" s="36"/>
      <c r="T22" s="36">
        <f t="shared" si="1"/>
        <v>7570921</v>
      </c>
      <c r="U22" s="36">
        <f t="shared" si="0"/>
        <v>9523367</v>
      </c>
      <c r="V22" s="139">
        <f>D22/U22*100</f>
        <v>20.50163560849855</v>
      </c>
      <c r="W22" s="57">
        <f t="shared" si="4"/>
        <v>0.702183741935484</v>
      </c>
      <c r="X22" s="59">
        <f>Y22+Y23</f>
        <v>13562.499999999996</v>
      </c>
      <c r="Y22" s="36">
        <f t="shared" si="2"/>
        <v>7451.749711445002</v>
      </c>
      <c r="Z22" s="58">
        <v>1854.896653543307</v>
      </c>
      <c r="AA22" s="58">
        <v>5596.853057901694</v>
      </c>
      <c r="AB22" s="92"/>
      <c r="AC22" s="73">
        <v>1760.999999999999</v>
      </c>
      <c r="AD22" s="73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4"/>
      <c r="D23" s="36"/>
      <c r="E23" s="56"/>
      <c r="F23" s="36"/>
      <c r="G23" s="8"/>
      <c r="H23" s="36"/>
      <c r="I23" s="36"/>
      <c r="J23" s="36"/>
      <c r="K23" s="36"/>
      <c r="L23" s="8"/>
      <c r="M23" s="36"/>
      <c r="N23" s="36"/>
      <c r="O23" s="36"/>
      <c r="P23" s="36"/>
      <c r="Q23" s="36"/>
      <c r="R23" s="36"/>
      <c r="S23" s="36"/>
      <c r="T23" s="36">
        <f t="shared" si="1"/>
        <v>0</v>
      </c>
      <c r="U23" s="36">
        <f t="shared" si="0"/>
        <v>0</v>
      </c>
      <c r="V23" s="139"/>
      <c r="W23" s="57" t="e">
        <f t="shared" si="4"/>
        <v>#DIV/0!</v>
      </c>
      <c r="X23" s="59"/>
      <c r="Y23" s="36">
        <f t="shared" si="2"/>
        <v>6110.750288554994</v>
      </c>
      <c r="Z23" s="58">
        <v>1482.6033464566915</v>
      </c>
      <c r="AA23" s="58">
        <v>4628.146942098302</v>
      </c>
      <c r="AC23" s="73">
        <v>1412.000000000001</v>
      </c>
      <c r="AD23" s="73">
        <v>4527</v>
      </c>
      <c r="AO23">
        <v>14.95800929070746</v>
      </c>
    </row>
    <row r="24" spans="1:41" ht="15">
      <c r="A24" s="5">
        <v>17</v>
      </c>
      <c r="B24" s="6" t="s">
        <v>37</v>
      </c>
      <c r="C24" s="85">
        <v>2</v>
      </c>
      <c r="D24" s="36">
        <f>'Anne-6'!D25+'Anne-7'!F25+'Anne-8'!D25</f>
        <v>4877180</v>
      </c>
      <c r="E24" s="56"/>
      <c r="F24" s="36">
        <f t="shared" si="3"/>
        <v>4877180</v>
      </c>
      <c r="G24" s="84">
        <f>'Anne-6'!G25+'Anne-8'!H25</f>
        <v>7289389</v>
      </c>
      <c r="H24" s="8">
        <f>'Anne-6'!S25+'Anne-7'!I25+'Anne-8'!I25</f>
        <v>4138230</v>
      </c>
      <c r="I24" s="36">
        <f>'Anne-6'!I25+'Anne-8'!M25</f>
        <v>3169182</v>
      </c>
      <c r="J24" s="36"/>
      <c r="K24" s="36"/>
      <c r="L24" s="8">
        <f>'Anne-8'!J25+'Anne-7'!J25</f>
        <v>2049947</v>
      </c>
      <c r="M24" s="36">
        <f>'Anne-6'!N25</f>
        <v>1063004</v>
      </c>
      <c r="N24" s="36">
        <f>'Anne-6'!K25</f>
        <v>2908410</v>
      </c>
      <c r="O24" s="36">
        <f>'Anne-6'!V25</f>
        <v>0</v>
      </c>
      <c r="P24" s="36">
        <f>'Anne-6'!W25</f>
        <v>0</v>
      </c>
      <c r="Q24" s="36">
        <f>+'Anne-7'!L25+'Anne-8'!L25</f>
        <v>0</v>
      </c>
      <c r="R24" s="36"/>
      <c r="S24" s="36"/>
      <c r="T24" s="36">
        <f t="shared" si="1"/>
        <v>20618162</v>
      </c>
      <c r="U24" s="36">
        <f t="shared" si="0"/>
        <v>25495342</v>
      </c>
      <c r="V24" s="139">
        <f>D24/U24*100</f>
        <v>19.12969043521754</v>
      </c>
      <c r="W24" s="57">
        <f t="shared" si="4"/>
        <v>0.6125007087087089</v>
      </c>
      <c r="X24" s="59">
        <f t="shared" si="5"/>
        <v>41624.999999999985</v>
      </c>
      <c r="Y24" s="36">
        <f t="shared" si="2"/>
        <v>41624.999999999985</v>
      </c>
      <c r="Z24" s="58">
        <v>7174</v>
      </c>
      <c r="AA24" s="58">
        <v>34450.999999999985</v>
      </c>
      <c r="AC24" s="73">
        <v>6831.999999999996</v>
      </c>
      <c r="AD24" s="73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5">
        <v>3</v>
      </c>
      <c r="D25" s="36">
        <f>'Anne-6'!D26+'Anne-7'!F26+'Anne-8'!D26</f>
        <v>5431147</v>
      </c>
      <c r="E25" s="56"/>
      <c r="F25" s="36">
        <f t="shared" si="3"/>
        <v>5431147</v>
      </c>
      <c r="G25" s="84">
        <f>'Anne-6'!G26+'Anne-8'!H26</f>
        <v>7204125</v>
      </c>
      <c r="H25" s="36">
        <f>'Anne-6'!S26+'Anne-7'!I26+'Anne-8'!I26</f>
        <v>3095301</v>
      </c>
      <c r="I25" s="36">
        <f>'Anne-6'!I26+'Anne-8'!M26</f>
        <v>4503635</v>
      </c>
      <c r="J25" s="36"/>
      <c r="K25" s="36"/>
      <c r="L25" s="8">
        <f>'Anne-8'!J26+'Anne-7'!J26</f>
        <v>2466191</v>
      </c>
      <c r="M25" s="84">
        <f>'Anne-6'!N26</f>
        <v>5845234</v>
      </c>
      <c r="N25" s="36">
        <f>'Anne-6'!K26</f>
        <v>1002025</v>
      </c>
      <c r="O25" s="36">
        <f>'Anne-6'!V26</f>
        <v>0</v>
      </c>
      <c r="P25" s="36">
        <f>'Anne-6'!W26</f>
        <v>0</v>
      </c>
      <c r="Q25" s="36">
        <f>+'Anne-7'!L26+'Anne-8'!L26</f>
        <v>0</v>
      </c>
      <c r="R25" s="36">
        <f>'Anne-7'!K26+'Anne-8'!K26</f>
        <v>1929657</v>
      </c>
      <c r="S25" s="36"/>
      <c r="T25" s="36">
        <f t="shared" si="1"/>
        <v>26046168</v>
      </c>
      <c r="U25" s="36">
        <f t="shared" si="0"/>
        <v>31477315</v>
      </c>
      <c r="V25" s="139">
        <f>D25/U25*100</f>
        <v>17.254162243507746</v>
      </c>
      <c r="W25" s="57">
        <f t="shared" si="4"/>
        <v>1.0478815872698826</v>
      </c>
      <c r="X25" s="59">
        <f>Y25</f>
        <v>30039</v>
      </c>
      <c r="Y25" s="36">
        <f t="shared" si="2"/>
        <v>30039</v>
      </c>
      <c r="Z25" s="60">
        <v>12604</v>
      </c>
      <c r="AA25" s="60">
        <v>17435</v>
      </c>
      <c r="AC25" s="73">
        <v>11972.999999999993</v>
      </c>
      <c r="AD25" s="73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5">
        <v>3</v>
      </c>
      <c r="D26" s="36">
        <f>'Anne-6'!D27+'Anne-7'!F27+'Anne-8'!D27</f>
        <v>6744395</v>
      </c>
      <c r="E26" s="56"/>
      <c r="F26" s="36">
        <f t="shared" si="3"/>
        <v>6744395</v>
      </c>
      <c r="G26" s="84">
        <f>'Anne-6'!G27+'Anne-8'!H27</f>
        <v>14873207</v>
      </c>
      <c r="H26" s="8">
        <f>'Anne-6'!S27+'Anne-7'!I27+'Anne-8'!I27</f>
        <v>5921599</v>
      </c>
      <c r="I26" s="84">
        <f>'Anne-6'!I27+'Anne-8'!M27</f>
        <v>9273395</v>
      </c>
      <c r="J26" s="36">
        <f>G26-D26</f>
        <v>8128812</v>
      </c>
      <c r="K26" s="105">
        <f>J26/D26</f>
        <v>1.2052692643298621</v>
      </c>
      <c r="L26" s="8">
        <f>'Anne-8'!J27+'Anne-7'!J27</f>
        <v>2431811</v>
      </c>
      <c r="M26" s="36">
        <f>'Anne-6'!N27</f>
        <v>5660460</v>
      </c>
      <c r="N26" s="36">
        <f>'Anne-6'!K27</f>
        <v>3566660</v>
      </c>
      <c r="O26" s="36">
        <f>'Anne-6'!V27</f>
        <v>0</v>
      </c>
      <c r="P26" s="36">
        <f>'Anne-6'!W27</f>
        <v>0</v>
      </c>
      <c r="Q26" s="36">
        <f>+'Anne-7'!L27+'Anne-8'!L27</f>
        <v>2232478</v>
      </c>
      <c r="R26" s="36"/>
      <c r="S26" s="36"/>
      <c r="T26" s="36">
        <f t="shared" si="1"/>
        <v>43959610</v>
      </c>
      <c r="U26" s="36">
        <f t="shared" si="0"/>
        <v>50704005</v>
      </c>
      <c r="V26" s="139">
        <f>D26/U26*100</f>
        <v>13.30150350056174</v>
      </c>
      <c r="W26" s="57">
        <f t="shared" si="4"/>
        <v>0.7196702126904598</v>
      </c>
      <c r="X26" s="59">
        <f t="shared" si="5"/>
        <v>70454.5</v>
      </c>
      <c r="Y26" s="36">
        <f t="shared" si="2"/>
        <v>70454.5</v>
      </c>
      <c r="Z26" s="58">
        <v>16934.5</v>
      </c>
      <c r="AA26" s="58">
        <v>53520</v>
      </c>
      <c r="AC26" s="73">
        <v>16214.999999999993</v>
      </c>
      <c r="AD26" s="73">
        <v>51615.00000000003</v>
      </c>
      <c r="AF26" s="83"/>
      <c r="AO26">
        <v>12.587224104140947</v>
      </c>
    </row>
    <row r="27" spans="1:41" ht="15">
      <c r="A27" s="5">
        <v>20</v>
      </c>
      <c r="B27" s="6" t="s">
        <v>40</v>
      </c>
      <c r="C27" s="85">
        <v>4</v>
      </c>
      <c r="D27" s="36">
        <f>'Anne-6'!D28+'Anne-7'!F28+'Anne-8'!D28</f>
        <v>9609926</v>
      </c>
      <c r="E27" s="56"/>
      <c r="F27" s="36">
        <f t="shared" si="3"/>
        <v>9609926</v>
      </c>
      <c r="G27" s="84">
        <f>'Anne-6'!G28+'Anne-8'!H28</f>
        <v>10239056</v>
      </c>
      <c r="H27" s="36">
        <f>'Anne-6'!S28+'Anne-7'!I28+'Anne-8'!I28</f>
        <v>5446968</v>
      </c>
      <c r="I27" s="84">
        <f>'Anne-6'!I28+'Anne-8'!M28</f>
        <v>10508224</v>
      </c>
      <c r="J27" s="36"/>
      <c r="K27" s="36"/>
      <c r="L27" s="8">
        <f>'Anne-8'!J28+'Anne-7'!J28</f>
        <v>3858513</v>
      </c>
      <c r="M27" s="36">
        <f>'Anne-6'!N28</f>
        <v>2486098</v>
      </c>
      <c r="N27" s="84">
        <f>'Anne-6'!K28</f>
        <v>17859190</v>
      </c>
      <c r="O27" s="36">
        <f>'Anne-6'!V28</f>
        <v>0</v>
      </c>
      <c r="P27" s="36">
        <f>'Anne-6'!W28</f>
        <v>0</v>
      </c>
      <c r="Q27" s="36">
        <f>+'Anne-7'!L28+'Anne-8'!L28</f>
        <v>1085246</v>
      </c>
      <c r="R27" s="36"/>
      <c r="S27" s="36"/>
      <c r="T27" s="36">
        <f t="shared" si="1"/>
        <v>51483295</v>
      </c>
      <c r="U27" s="36">
        <f t="shared" si="0"/>
        <v>61093221</v>
      </c>
      <c r="V27" s="139">
        <f>D27/U27*100</f>
        <v>15.729938351097909</v>
      </c>
      <c r="W27" s="57">
        <f t="shared" si="4"/>
        <v>1.0385453053687563</v>
      </c>
      <c r="X27" s="59">
        <f t="shared" si="5"/>
        <v>58825.76396444027</v>
      </c>
      <c r="Y27" s="36">
        <f t="shared" si="2"/>
        <v>58825.76396444027</v>
      </c>
      <c r="Z27" s="58">
        <v>28434.263964440266</v>
      </c>
      <c r="AA27" s="58">
        <v>30391.500000000007</v>
      </c>
      <c r="AC27" s="73">
        <v>28884.322622685115</v>
      </c>
      <c r="AD27" s="73">
        <v>31167.000000000015</v>
      </c>
      <c r="AE27">
        <f>Z27/Z34*AC34</f>
        <v>27210.511928184027</v>
      </c>
      <c r="AG27" s="83">
        <f>AC27-AE27</f>
        <v>1673.8106945010877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4"/>
      <c r="D28" s="36"/>
      <c r="E28" s="56"/>
      <c r="F28" s="36"/>
      <c r="G28" s="8"/>
      <c r="H28" s="36"/>
      <c r="I28" s="36"/>
      <c r="J28" s="36"/>
      <c r="K28" s="36"/>
      <c r="L28" s="8"/>
      <c r="M28" s="36"/>
      <c r="N28" s="36"/>
      <c r="O28" s="36"/>
      <c r="P28" s="36"/>
      <c r="Q28" s="36"/>
      <c r="R28" s="36"/>
      <c r="S28" s="36"/>
      <c r="T28" s="36">
        <f t="shared" si="1"/>
        <v>0</v>
      </c>
      <c r="U28" s="36">
        <f t="shared" si="0"/>
        <v>0</v>
      </c>
      <c r="V28" s="139"/>
      <c r="W28" s="57" t="e">
        <f t="shared" si="4"/>
        <v>#DIV/0!</v>
      </c>
      <c r="X28" s="59"/>
      <c r="Y28" s="36">
        <f t="shared" si="2"/>
        <v>10451.573155748916</v>
      </c>
      <c r="Z28" s="58">
        <v>2973.1735603673665</v>
      </c>
      <c r="AA28" s="58">
        <v>7478.399595381549</v>
      </c>
      <c r="AC28" s="73">
        <v>2819.999999999998</v>
      </c>
      <c r="AD28" s="73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5">
        <v>3</v>
      </c>
      <c r="D29" s="36">
        <f>'Anne-6'!D30+'Anne-7'!F30+'Anne-8'!D30</f>
        <v>10971627</v>
      </c>
      <c r="E29" s="56"/>
      <c r="F29" s="36">
        <f t="shared" si="3"/>
        <v>10971627</v>
      </c>
      <c r="G29" s="84">
        <f>'Anne-6'!G30+'Anne-8'!H30</f>
        <v>15484343</v>
      </c>
      <c r="H29" s="8">
        <f>'Anne-6'!S30+'Anne-7'!I30+'Anne-8'!I30</f>
        <v>8576572</v>
      </c>
      <c r="I29" s="84">
        <f>'Anne-6'!I30+'Anne-8'!M30</f>
        <v>14400551</v>
      </c>
      <c r="J29" s="36"/>
      <c r="K29" s="36"/>
      <c r="L29" s="8">
        <f>'Anne-8'!J30+'Anne-7'!J30</f>
        <v>4286276</v>
      </c>
      <c r="M29" s="36">
        <f>'Anne-6'!N30</f>
        <v>7594778</v>
      </c>
      <c r="N29" s="36">
        <f>'Anne-6'!K30</f>
        <v>4767195</v>
      </c>
      <c r="O29" s="36">
        <f>'Anne-6'!V30</f>
        <v>7541316</v>
      </c>
      <c r="P29" s="36">
        <f>'Anne-6'!W30</f>
        <v>0</v>
      </c>
      <c r="Q29" s="36">
        <f>+'Anne-7'!L30+'Anne-8'!L30</f>
        <v>0</v>
      </c>
      <c r="R29" s="36"/>
      <c r="S29" s="36"/>
      <c r="T29" s="36">
        <f t="shared" si="1"/>
        <v>62651031</v>
      </c>
      <c r="U29" s="36">
        <f t="shared" si="0"/>
        <v>73622658</v>
      </c>
      <c r="V29" s="139">
        <f aca="true" t="shared" si="6" ref="V29:V37">D29/U29*100</f>
        <v>14.902514114608575</v>
      </c>
      <c r="W29" s="57">
        <f t="shared" si="4"/>
        <v>0.5126819463892122</v>
      </c>
      <c r="X29" s="59">
        <f t="shared" si="5"/>
        <v>143602.98527872865</v>
      </c>
      <c r="Y29" s="36">
        <f t="shared" si="2"/>
        <v>143602.98527872865</v>
      </c>
      <c r="Z29" s="60">
        <v>24706.371572852502</v>
      </c>
      <c r="AA29" s="60">
        <v>118896.61370587614</v>
      </c>
      <c r="AB29" s="24"/>
      <c r="AC29" s="73">
        <v>44060.00000000003</v>
      </c>
      <c r="AD29" s="73">
        <v>156704</v>
      </c>
      <c r="AE29" s="73">
        <f>Z29/(Z29+Z30)*AC29</f>
        <v>23369.33057447205</v>
      </c>
      <c r="AF29">
        <f>AA29/(AA29+AA30)*AD29</f>
        <v>114487.74235394527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5">
        <v>5</v>
      </c>
      <c r="D30" s="36">
        <f>'Anne-6'!D31+'Anne-7'!F31+'Anne-8'!D31</f>
        <v>5221990</v>
      </c>
      <c r="E30" s="56"/>
      <c r="F30" s="36">
        <f t="shared" si="3"/>
        <v>5221990</v>
      </c>
      <c r="G30" s="84">
        <f>'Anne-6'!G31+'Anne-8'!H31</f>
        <v>6505433</v>
      </c>
      <c r="H30" s="84">
        <f>'Anne-6'!S31+'Anne-7'!I31+'Anne-8'!I31</f>
        <v>5933902</v>
      </c>
      <c r="I30" s="84">
        <f>'Anne-6'!I31+'Anne-8'!M31</f>
        <v>9261829</v>
      </c>
      <c r="J30" s="36"/>
      <c r="K30" s="36"/>
      <c r="L30" s="8">
        <f>'Anne-8'!J31+'Anne-7'!J31</f>
        <v>3757211</v>
      </c>
      <c r="M30" s="84">
        <f>'Anne-6'!N31</f>
        <v>11014960</v>
      </c>
      <c r="N30" s="36">
        <f>'Anne-6'!K31</f>
        <v>109150</v>
      </c>
      <c r="O30" s="36">
        <f>'Anne-6'!V31</f>
        <v>5269519</v>
      </c>
      <c r="P30" s="36">
        <f>'Anne-6'!W31</f>
        <v>0</v>
      </c>
      <c r="Q30" s="36">
        <f>+'Anne-7'!L31+'Anne-8'!L31</f>
        <v>318743</v>
      </c>
      <c r="R30" s="36"/>
      <c r="S30" s="36"/>
      <c r="T30" s="36">
        <f t="shared" si="1"/>
        <v>42170747</v>
      </c>
      <c r="U30" s="36">
        <f t="shared" si="0"/>
        <v>47392737</v>
      </c>
      <c r="V30" s="139">
        <f t="shared" si="6"/>
        <v>11.018544888006785</v>
      </c>
      <c r="W30" s="57">
        <f t="shared" si="4"/>
        <v>0.6222131057692474</v>
      </c>
      <c r="X30" s="59">
        <f>Y30+Y28</f>
        <v>76168.01472127135</v>
      </c>
      <c r="Y30" s="36">
        <f>Z30+AA30</f>
        <v>65716.44156552243</v>
      </c>
      <c r="Z30" s="60">
        <v>21874.454866780092</v>
      </c>
      <c r="AA30" s="60">
        <v>43841.98669874234</v>
      </c>
      <c r="AB30" s="73"/>
      <c r="AC30" s="73">
        <v>10554.608454484804</v>
      </c>
      <c r="AD30" s="73">
        <v>64539.00000000003</v>
      </c>
      <c r="AE30" s="83">
        <f>AC29-AE29</f>
        <v>20690.66942552798</v>
      </c>
      <c r="AF30" s="73">
        <f>AD29-AF29</f>
        <v>42216.25764605473</v>
      </c>
      <c r="AG30" s="73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5">
        <v>4</v>
      </c>
      <c r="D31" s="36">
        <f>'Anne-6'!D32+'Anne-7'!F32+'Anne-8'!D32</f>
        <v>3486908</v>
      </c>
      <c r="E31" s="56"/>
      <c r="F31" s="36">
        <f t="shared" si="3"/>
        <v>3486908</v>
      </c>
      <c r="G31" s="84">
        <f>'Anne-6'!G32+'Anne-8'!H32</f>
        <v>9575630</v>
      </c>
      <c r="H31" s="84">
        <f>'Anne-6'!S32+'Anne-7'!I32+'Anne-8'!I32</f>
        <v>7265419</v>
      </c>
      <c r="I31" s="84">
        <f>'Anne-6'!I32+'Anne-8'!M32</f>
        <v>11851390</v>
      </c>
      <c r="J31" s="36">
        <f>I31-D31</f>
        <v>8364482</v>
      </c>
      <c r="K31" s="105">
        <f>J31/D31</f>
        <v>2.3988249761679974</v>
      </c>
      <c r="L31" s="8">
        <f>'Anne-8'!J32+'Anne-7'!J32</f>
        <v>1525717</v>
      </c>
      <c r="M31" s="36">
        <f>'Anne-6'!N32</f>
        <v>2682852</v>
      </c>
      <c r="N31" s="36">
        <f>'Anne-6'!K32</f>
        <v>3082883</v>
      </c>
      <c r="O31" s="36">
        <f>'Anne-6'!V32</f>
        <v>0</v>
      </c>
      <c r="P31" s="36">
        <f>'Anne-6'!W32</f>
        <v>0</v>
      </c>
      <c r="Q31" s="36">
        <f>+'Anne-7'!L32+'Anne-8'!L32</f>
        <v>1791852</v>
      </c>
      <c r="R31" s="36"/>
      <c r="S31" s="36"/>
      <c r="T31" s="36">
        <f t="shared" si="1"/>
        <v>37775743</v>
      </c>
      <c r="U31" s="36">
        <f t="shared" si="0"/>
        <v>41262651</v>
      </c>
      <c r="V31" s="139">
        <f t="shared" si="6"/>
        <v>8.450518605796802</v>
      </c>
      <c r="W31" s="57">
        <f t="shared" si="4"/>
        <v>0.5337034779016772</v>
      </c>
      <c r="X31" s="59">
        <f>Y31+Y8</f>
        <v>77313.81320996697</v>
      </c>
      <c r="Y31" s="36">
        <f t="shared" si="2"/>
        <v>76828.52378891941</v>
      </c>
      <c r="Z31" s="58">
        <v>10797.858720340248</v>
      </c>
      <c r="AA31" s="58">
        <v>66030.66506857917</v>
      </c>
      <c r="AC31" s="73">
        <v>15017.39154551519</v>
      </c>
      <c r="AD31" s="73">
        <v>0</v>
      </c>
      <c r="AO31">
        <v>0</v>
      </c>
    </row>
    <row r="32" spans="1:41" ht="15">
      <c r="A32" s="5">
        <v>25</v>
      </c>
      <c r="B32" s="6" t="s">
        <v>45</v>
      </c>
      <c r="C32" s="85">
        <v>4</v>
      </c>
      <c r="D32" s="36">
        <f>'Anne-6'!D33+'Anne-7'!F33+'Anne-8'!D33</f>
        <v>3168233</v>
      </c>
      <c r="E32" s="56"/>
      <c r="F32" s="36">
        <f t="shared" si="3"/>
        <v>3168233</v>
      </c>
      <c r="G32" s="84">
        <f>'Anne-6'!G33+'Anne-8'!H33</f>
        <v>3858136</v>
      </c>
      <c r="H32" s="84">
        <f>'Anne-6'!S33+'Anne-7'!I33+'Anne-8'!I33</f>
        <v>3774347</v>
      </c>
      <c r="I32" s="84">
        <f>'Anne-6'!I33+'Anne-8'!M33</f>
        <v>4367383</v>
      </c>
      <c r="J32" s="36"/>
      <c r="K32" s="36"/>
      <c r="L32" s="8">
        <f>'Anne-8'!J33+'Anne-7'!J33</f>
        <v>2912018</v>
      </c>
      <c r="M32" s="36">
        <f>'Anne-6'!N33</f>
        <v>1316958</v>
      </c>
      <c r="N32" s="36">
        <f>'Anne-6'!K33</f>
        <v>2179944</v>
      </c>
      <c r="O32" s="36">
        <f>'Anne-6'!V33</f>
        <v>0</v>
      </c>
      <c r="P32" s="36">
        <f>'Anne-6'!W33</f>
        <v>0</v>
      </c>
      <c r="Q32" s="36">
        <f>+'Anne-7'!L33+'Anne-8'!L33</f>
        <v>764521</v>
      </c>
      <c r="R32" s="36"/>
      <c r="S32" s="36"/>
      <c r="T32" s="36">
        <f t="shared" si="1"/>
        <v>19173307</v>
      </c>
      <c r="U32" s="36">
        <f t="shared" si="0"/>
        <v>22341540</v>
      </c>
      <c r="V32" s="139">
        <f t="shared" si="6"/>
        <v>14.18090695627965</v>
      </c>
      <c r="W32" s="57">
        <f t="shared" si="4"/>
        <v>1.4541964748368592</v>
      </c>
      <c r="X32" s="59">
        <f t="shared" si="5"/>
        <v>15363.494814210999</v>
      </c>
      <c r="Y32" s="36">
        <f t="shared" si="2"/>
        <v>15363.494814210999</v>
      </c>
      <c r="Z32" s="58">
        <v>15363.494814210999</v>
      </c>
      <c r="AA32" s="58">
        <v>0</v>
      </c>
      <c r="AC32" s="73">
        <v>8783.677377314893</v>
      </c>
      <c r="AD32" s="73">
        <v>0</v>
      </c>
      <c r="AG32" s="83">
        <f>AC32+AG27</f>
        <v>10457.48807181598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5">
        <v>3</v>
      </c>
      <c r="D33" s="36">
        <f>'Anne-6'!D34+'Anne-7'!F34+'Anne-8'!D34</f>
        <v>2306111</v>
      </c>
      <c r="E33" s="56"/>
      <c r="F33" s="36">
        <f t="shared" si="3"/>
        <v>2306111</v>
      </c>
      <c r="G33" s="84">
        <f>'Anne-6'!G34+'Anne-8'!H34</f>
        <v>4161770</v>
      </c>
      <c r="H33" s="36">
        <f>'Anne-6'!S34+'Anne-7'!I34+'Anne-8'!I34</f>
        <v>964630</v>
      </c>
      <c r="I33" s="36">
        <f>'Anne-6'!I34+'Anne-8'!M34</f>
        <v>2160677</v>
      </c>
      <c r="J33" s="36">
        <f>G33-D33</f>
        <v>1855659</v>
      </c>
      <c r="K33" s="105">
        <f>J33/D33</f>
        <v>0.8046702869029287</v>
      </c>
      <c r="L33" s="8">
        <f>'Anne-8'!J34+'Anne-7'!J34</f>
        <v>1519735</v>
      </c>
      <c r="M33" s="36">
        <f>'Anne-6'!N34</f>
        <v>0</v>
      </c>
      <c r="N33" s="84">
        <f>'Anne-6'!K34</f>
        <v>4109610</v>
      </c>
      <c r="O33" s="36">
        <f>'Anne-6'!V34</f>
        <v>0</v>
      </c>
      <c r="P33" s="36">
        <f>'Anne-6'!W34</f>
        <v>0</v>
      </c>
      <c r="Q33" s="36">
        <f>+'Anne-7'!L34+'Anne-8'!L34</f>
        <v>0</v>
      </c>
      <c r="R33" s="36"/>
      <c r="S33" s="36"/>
      <c r="T33" s="36">
        <f t="shared" si="1"/>
        <v>12916422</v>
      </c>
      <c r="U33" s="36">
        <f t="shared" si="0"/>
        <v>15222533</v>
      </c>
      <c r="V33" s="139">
        <f t="shared" si="6"/>
        <v>15.149325017065163</v>
      </c>
      <c r="W33" s="57">
        <f t="shared" si="4"/>
        <v>1.3619991727604537</v>
      </c>
      <c r="X33" s="59">
        <f t="shared" si="5"/>
        <v>11176.609578365225</v>
      </c>
      <c r="Y33" s="36">
        <f t="shared" si="2"/>
        <v>11176.609578365225</v>
      </c>
      <c r="Z33" s="58">
        <v>11176.609578365225</v>
      </c>
      <c r="AA33" s="61">
        <v>0</v>
      </c>
      <c r="AC33" s="73"/>
      <c r="AD33" s="73"/>
    </row>
    <row r="34" spans="1:33" ht="15">
      <c r="A34" s="5"/>
      <c r="B34" s="7" t="s">
        <v>47</v>
      </c>
      <c r="C34" s="45">
        <v>4</v>
      </c>
      <c r="D34" s="8">
        <f aca="true" t="shared" si="7" ref="D34:U34">SUM(D8:D33)</f>
        <v>117226622</v>
      </c>
      <c r="E34" s="8">
        <f t="shared" si="7"/>
        <v>0</v>
      </c>
      <c r="F34" s="8">
        <f t="shared" si="7"/>
        <v>117226622</v>
      </c>
      <c r="G34" s="8">
        <f t="shared" si="7"/>
        <v>181378351</v>
      </c>
      <c r="H34" s="8">
        <f t="shared" si="7"/>
        <v>113534667</v>
      </c>
      <c r="I34" s="8">
        <f t="shared" si="7"/>
        <v>139890031</v>
      </c>
      <c r="J34" s="8">
        <f t="shared" si="7"/>
        <v>76475284</v>
      </c>
      <c r="K34" s="8">
        <f t="shared" si="7"/>
        <v>14.390305939103868</v>
      </c>
      <c r="L34" s="8">
        <f t="shared" si="7"/>
        <v>58131317</v>
      </c>
      <c r="M34" s="8">
        <f t="shared" si="7"/>
        <v>118738927</v>
      </c>
      <c r="N34" s="8">
        <f t="shared" si="7"/>
        <v>58407042</v>
      </c>
      <c r="O34" s="8">
        <f t="shared" si="7"/>
        <v>32355900</v>
      </c>
      <c r="P34" s="8">
        <f t="shared" si="7"/>
        <v>3244563</v>
      </c>
      <c r="Q34" s="36">
        <f>SUM(Q8:Q33)</f>
        <v>8728937</v>
      </c>
      <c r="R34" s="36">
        <f t="shared" si="7"/>
        <v>1929657</v>
      </c>
      <c r="S34" s="36"/>
      <c r="T34" s="36">
        <f t="shared" si="1"/>
        <v>716339392</v>
      </c>
      <c r="U34" s="36">
        <f t="shared" si="7"/>
        <v>833566014</v>
      </c>
      <c r="V34" s="139">
        <f t="shared" si="6"/>
        <v>14.063267939328439</v>
      </c>
      <c r="W34" s="91">
        <f t="shared" si="4"/>
        <v>0.7007227768538402</v>
      </c>
      <c r="X34" s="36">
        <f>SUM(X8:X33)</f>
        <v>1189580.3041291304</v>
      </c>
      <c r="Y34" s="36">
        <f>SUM(Y8:Y33)</f>
        <v>1189580.3041291304</v>
      </c>
      <c r="Z34" s="62">
        <v>333799.4961049524</v>
      </c>
      <c r="AA34" s="62">
        <v>855780.4999999998</v>
      </c>
      <c r="AC34" s="62">
        <f>SUM(AC8:AC33)</f>
        <v>319433.4547131093</v>
      </c>
      <c r="AD34" s="62">
        <f>SUM(AD8:AD33)</f>
        <v>833716.9999999999</v>
      </c>
      <c r="AG34" s="83"/>
    </row>
    <row r="35" spans="1:30" ht="14.25">
      <c r="A35" s="4">
        <v>27</v>
      </c>
      <c r="B35" s="3" t="s">
        <v>48</v>
      </c>
      <c r="C35" s="3"/>
      <c r="D35" s="56"/>
      <c r="E35" s="96">
        <f>'Anne-6'!E36+'Anne-7'!G36+'Anne-8'!E36</f>
        <v>4500745</v>
      </c>
      <c r="F35" s="36">
        <f t="shared" si="3"/>
        <v>4500745</v>
      </c>
      <c r="G35" s="8">
        <f>'Anne-6'!G36+'Anne-8'!H36</f>
        <v>10888843</v>
      </c>
      <c r="H35" s="36">
        <f>'Anne-6'!S36+'Anne-7'!I36+'Anne-8'!I36</f>
        <v>7969922</v>
      </c>
      <c r="I35" s="36">
        <f>'Anne-6'!I36+'Anne-8'!M36</f>
        <v>8858566</v>
      </c>
      <c r="J35" s="36"/>
      <c r="K35" s="36"/>
      <c r="L35" s="8">
        <f>'Anne-8'!J36+'Anne-7'!J36</f>
        <v>2962283</v>
      </c>
      <c r="M35" s="36">
        <f>'Anne-6'!N36</f>
        <v>5251411</v>
      </c>
      <c r="N35" s="36">
        <f>'Anne-6'!K36</f>
        <v>3133898</v>
      </c>
      <c r="O35" s="36">
        <f>'Anne-6'!V36</f>
        <v>0</v>
      </c>
      <c r="P35" s="36">
        <f>'Anne-6'!W36</f>
        <v>0</v>
      </c>
      <c r="Q35" s="36">
        <f>+'Anne-7'!L36+'Anne-8'!L36</f>
        <v>882224</v>
      </c>
      <c r="R35" s="36"/>
      <c r="S35" s="36"/>
      <c r="T35" s="36">
        <f t="shared" si="1"/>
        <v>39947147</v>
      </c>
      <c r="U35" s="36">
        <f>F35+T35</f>
        <v>44447892</v>
      </c>
      <c r="V35" s="139">
        <f t="shared" si="6"/>
        <v>0</v>
      </c>
      <c r="W35" s="57">
        <f t="shared" si="4"/>
        <v>2.2436532142045893</v>
      </c>
      <c r="X35" s="59">
        <f t="shared" si="5"/>
        <v>19810.499999999993</v>
      </c>
      <c r="Y35" s="36">
        <f t="shared" si="2"/>
        <v>19810.499999999993</v>
      </c>
      <c r="Z35" s="63">
        <v>18993.999999999993</v>
      </c>
      <c r="AA35" s="63">
        <v>816.5000000000002</v>
      </c>
      <c r="AC35" s="73">
        <v>17607.999999999985</v>
      </c>
      <c r="AD35" s="73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6">
        <f>'Anne-6'!E37+'Anne-7'!G37+'Anne-8'!E37</f>
        <v>2783208</v>
      </c>
      <c r="F36" s="36">
        <f t="shared" si="3"/>
        <v>2783208</v>
      </c>
      <c r="G36" s="8">
        <f>'Anne-6'!G37+'Anne-8'!H37</f>
        <v>4458086</v>
      </c>
      <c r="H36" s="36">
        <f>'Anne-6'!S37+'Anne-7'!I37+'Anne-8'!I37</f>
        <v>6159269</v>
      </c>
      <c r="I36" s="36">
        <f>'Anne-6'!I37+'Anne-8'!M37</f>
        <v>6839284</v>
      </c>
      <c r="J36" s="36"/>
      <c r="K36" s="36"/>
      <c r="L36" s="8">
        <f>'Anne-8'!J37+'Anne-7'!J37</f>
        <v>3944255</v>
      </c>
      <c r="M36" s="36">
        <f>'Anne-6'!N37</f>
        <v>3237854</v>
      </c>
      <c r="N36" s="36">
        <f>'Anne-6'!K37</f>
        <v>1704239</v>
      </c>
      <c r="O36" s="36">
        <f>'Anne-6'!V37</f>
        <v>0</v>
      </c>
      <c r="P36" s="36">
        <f>'Anne-6'!W37</f>
        <v>0</v>
      </c>
      <c r="Q36" s="36">
        <f>+'Anne-7'!L37+'Anne-8'!L37</f>
        <v>0</v>
      </c>
      <c r="R36" s="36"/>
      <c r="S36" s="36">
        <f>'Anne-6'!X37</f>
        <v>2825418</v>
      </c>
      <c r="T36" s="36">
        <f>G36+H36+L36+I36+M36+N36+S36+R36+Q36+O36+P36</f>
        <v>29168405</v>
      </c>
      <c r="U36" s="36">
        <f>F36+T36</f>
        <v>31951613</v>
      </c>
      <c r="V36" s="139">
        <f t="shared" si="6"/>
        <v>0</v>
      </c>
      <c r="W36" s="57">
        <f t="shared" si="4"/>
        <v>1.462793219021077</v>
      </c>
      <c r="X36" s="59">
        <f t="shared" si="5"/>
        <v>21842.877437853105</v>
      </c>
      <c r="Y36" s="36">
        <f>Z36+AA36</f>
        <v>21842.877437853105</v>
      </c>
      <c r="Z36" s="63">
        <v>21842.877437853105</v>
      </c>
      <c r="AA36" s="63">
        <v>0</v>
      </c>
      <c r="AC36" s="73">
        <v>20904.545286890716</v>
      </c>
      <c r="AD36" s="73">
        <v>0</v>
      </c>
    </row>
    <row r="37" spans="1:31" ht="15">
      <c r="A37" s="4"/>
      <c r="B37" s="3" t="s">
        <v>50</v>
      </c>
      <c r="C37" s="75">
        <v>5</v>
      </c>
      <c r="D37" s="36">
        <f aca="true" t="shared" si="8" ref="D37:U37">SUM(D34:D36)</f>
        <v>117226622</v>
      </c>
      <c r="E37" s="36">
        <f t="shared" si="8"/>
        <v>7283953</v>
      </c>
      <c r="F37" s="36">
        <f t="shared" si="8"/>
        <v>124510575</v>
      </c>
      <c r="G37" s="36">
        <f t="shared" si="8"/>
        <v>196725280</v>
      </c>
      <c r="H37" s="36">
        <f t="shared" si="8"/>
        <v>127663858</v>
      </c>
      <c r="I37" s="36">
        <f t="shared" si="8"/>
        <v>155587881</v>
      </c>
      <c r="J37" s="36">
        <f t="shared" si="8"/>
        <v>76475284</v>
      </c>
      <c r="K37" s="36">
        <f t="shared" si="8"/>
        <v>14.390305939103868</v>
      </c>
      <c r="L37" s="36">
        <f t="shared" si="8"/>
        <v>65037855</v>
      </c>
      <c r="M37" s="36">
        <f t="shared" si="8"/>
        <v>127228192</v>
      </c>
      <c r="N37" s="36">
        <f t="shared" si="8"/>
        <v>63245179</v>
      </c>
      <c r="O37" s="36">
        <f t="shared" si="8"/>
        <v>32355900</v>
      </c>
      <c r="P37" s="36">
        <f t="shared" si="8"/>
        <v>3244563</v>
      </c>
      <c r="Q37" s="8">
        <f>SUM(Q34:Q36)</f>
        <v>9611161</v>
      </c>
      <c r="R37" s="8">
        <f t="shared" si="8"/>
        <v>1929657</v>
      </c>
      <c r="S37" s="8">
        <f>SUM(S34:S36)</f>
        <v>2825418</v>
      </c>
      <c r="T37" s="36">
        <f t="shared" si="1"/>
        <v>785454944</v>
      </c>
      <c r="U37" s="36">
        <f t="shared" si="8"/>
        <v>909965519</v>
      </c>
      <c r="V37" s="147">
        <f t="shared" si="6"/>
        <v>12.882534508431192</v>
      </c>
      <c r="W37" s="57">
        <f t="shared" si="4"/>
        <v>0.7390680848187101</v>
      </c>
      <c r="X37" s="36">
        <f>SUM(X34:X36)</f>
        <v>1231233.6815669835</v>
      </c>
      <c r="Y37" s="36">
        <f t="shared" si="2"/>
        <v>1231233.3735428054</v>
      </c>
      <c r="Z37" s="62">
        <v>374636.3735428054</v>
      </c>
      <c r="AA37" s="62">
        <v>856597</v>
      </c>
      <c r="AC37" s="62">
        <f>AC34+AC35+AC36</f>
        <v>357946</v>
      </c>
      <c r="AD37" s="62">
        <f>AD34+AD35+AD36</f>
        <v>834559.9999999999</v>
      </c>
      <c r="AE37" s="81">
        <f>AC37+AD37</f>
        <v>1192506</v>
      </c>
    </row>
    <row r="38" spans="1:27" ht="14.25">
      <c r="A38" s="107" t="s">
        <v>51</v>
      </c>
      <c r="B38" s="109"/>
      <c r="C38" s="3"/>
      <c r="D38" s="149">
        <f>D37/U37*100</f>
        <v>12.882534508431192</v>
      </c>
      <c r="E38" s="149">
        <f>E37/U37*100</f>
        <v>0.8004647261804653</v>
      </c>
      <c r="F38" s="149">
        <f>F37/U37</f>
        <v>0.1368299923461166</v>
      </c>
      <c r="G38" s="149">
        <f>G37/U37*100</f>
        <v>21.61898180671613</v>
      </c>
      <c r="H38" s="149">
        <f>H37/U37*100</f>
        <v>14.02952698035144</v>
      </c>
      <c r="I38" s="149">
        <f>I37/U37*100</f>
        <v>17.09821721277771</v>
      </c>
      <c r="J38" s="149"/>
      <c r="K38" s="149"/>
      <c r="L38" s="149">
        <f>L37/U37*100</f>
        <v>7.147287852343337</v>
      </c>
      <c r="M38" s="149">
        <f>M37/U37*100</f>
        <v>13.981649781611122</v>
      </c>
      <c r="N38" s="149">
        <f>N37/U37*100</f>
        <v>6.950283024954927</v>
      </c>
      <c r="O38" s="149">
        <f>O37/U37*100</f>
        <v>3.5557281374306666</v>
      </c>
      <c r="P38" s="149">
        <f>P37/U37*100</f>
        <v>0.3565588950629238</v>
      </c>
      <c r="Q38" s="149">
        <f>Q37/U37*100</f>
        <v>1.0562115595942707</v>
      </c>
      <c r="R38" s="149">
        <f>R37/U37*100</f>
        <v>0.21205825492383298</v>
      </c>
      <c r="S38" s="149">
        <f>S37/U37*100</f>
        <v>0.31049725962198793</v>
      </c>
      <c r="T38" s="149">
        <f>T37/U37*100</f>
        <v>86.31700076538834</v>
      </c>
      <c r="U38" s="149">
        <f>U37/U37*100</f>
        <v>100</v>
      </c>
      <c r="V38" s="95"/>
      <c r="Z38" s="24"/>
      <c r="AA38" s="24"/>
    </row>
    <row r="39" spans="1:31" ht="15" thickBot="1">
      <c r="A39" s="101"/>
      <c r="B39" s="77"/>
      <c r="C39" s="101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77"/>
      <c r="Z39" s="24"/>
      <c r="AA39" s="24"/>
      <c r="AE39" s="81"/>
    </row>
    <row r="40" spans="1:31" ht="15">
      <c r="A40" s="123" t="s">
        <v>251</v>
      </c>
      <c r="B40" s="124"/>
      <c r="C40" s="133">
        <v>5</v>
      </c>
      <c r="D40" s="129">
        <v>117506576</v>
      </c>
      <c r="E40" s="120">
        <v>7568516</v>
      </c>
      <c r="F40" s="120">
        <v>125075092</v>
      </c>
      <c r="G40" s="120">
        <v>195540909</v>
      </c>
      <c r="H40" s="120">
        <v>127997381</v>
      </c>
      <c r="I40" s="120">
        <v>154379242</v>
      </c>
      <c r="J40" s="120">
        <v>68183876</v>
      </c>
      <c r="K40" s="120">
        <v>12.964304935665503</v>
      </c>
      <c r="L40" s="120">
        <v>65173725</v>
      </c>
      <c r="M40" s="120">
        <v>126020313</v>
      </c>
      <c r="N40" s="120">
        <v>62602380</v>
      </c>
      <c r="O40" s="120">
        <v>32253714</v>
      </c>
      <c r="P40" s="120">
        <v>2929783</v>
      </c>
      <c r="Q40" s="120">
        <v>9622641</v>
      </c>
      <c r="R40" s="120">
        <v>1808879</v>
      </c>
      <c r="S40" s="120">
        <v>2760361</v>
      </c>
      <c r="T40" s="120">
        <v>781089328</v>
      </c>
      <c r="U40" s="120">
        <v>906164420</v>
      </c>
      <c r="V40" s="148">
        <f>D40/U40*100</f>
        <v>12.967467427158526</v>
      </c>
      <c r="W40" s="92"/>
      <c r="Y40" s="81"/>
      <c r="Z40" s="24"/>
      <c r="AA40" s="24"/>
      <c r="AE40" s="81"/>
    </row>
    <row r="41" spans="1:27" ht="15.75" thickBot="1">
      <c r="A41" s="125" t="s">
        <v>267</v>
      </c>
      <c r="B41" s="122"/>
      <c r="C41" s="4">
        <v>11</v>
      </c>
      <c r="D41" s="121">
        <f>D37-D40</f>
        <v>-279954</v>
      </c>
      <c r="E41" s="121">
        <f aca="true" t="shared" si="9" ref="E41:R41">E37-E40</f>
        <v>-284563</v>
      </c>
      <c r="F41" s="121">
        <f t="shared" si="9"/>
        <v>-564517</v>
      </c>
      <c r="G41" s="121">
        <f t="shared" si="9"/>
        <v>1184371</v>
      </c>
      <c r="H41" s="121">
        <f t="shared" si="9"/>
        <v>-333523</v>
      </c>
      <c r="I41" s="121">
        <f t="shared" si="9"/>
        <v>1208639</v>
      </c>
      <c r="J41" s="121">
        <f t="shared" si="9"/>
        <v>8291408</v>
      </c>
      <c r="K41" s="121">
        <f t="shared" si="9"/>
        <v>1.4260010034383654</v>
      </c>
      <c r="L41" s="121">
        <f t="shared" si="9"/>
        <v>-135870</v>
      </c>
      <c r="M41" s="121">
        <f t="shared" si="9"/>
        <v>1207879</v>
      </c>
      <c r="N41" s="121">
        <f t="shared" si="9"/>
        <v>642799</v>
      </c>
      <c r="O41" s="121">
        <f>O37-O40</f>
        <v>102186</v>
      </c>
      <c r="P41" s="121">
        <f>P37-P40</f>
        <v>314780</v>
      </c>
      <c r="Q41" s="121">
        <f>Q37-Q40</f>
        <v>-11480</v>
      </c>
      <c r="R41" s="121">
        <f t="shared" si="9"/>
        <v>120778</v>
      </c>
      <c r="S41" s="121">
        <f>S37-S40</f>
        <v>65057</v>
      </c>
      <c r="T41" s="121">
        <f>T37-T40</f>
        <v>4365616</v>
      </c>
      <c r="U41" s="121">
        <f>U37-U40</f>
        <v>3801099</v>
      </c>
      <c r="V41" s="482" t="s">
        <v>130</v>
      </c>
      <c r="W41" s="92"/>
      <c r="X41" s="92">
        <f>V40-V37</f>
        <v>0.08493291872733444</v>
      </c>
      <c r="Z41" s="24"/>
      <c r="AA41" s="24"/>
    </row>
    <row r="42" spans="1:24" ht="15">
      <c r="A42" s="123" t="s">
        <v>235</v>
      </c>
      <c r="B42" s="127"/>
      <c r="C42" s="135">
        <v>4</v>
      </c>
      <c r="D42" s="131">
        <v>121652687</v>
      </c>
      <c r="E42" s="132">
        <v>8457710</v>
      </c>
      <c r="F42" s="132">
        <v>130110397</v>
      </c>
      <c r="G42" s="132">
        <v>191479141</v>
      </c>
      <c r="H42" s="132">
        <v>124215343</v>
      </c>
      <c r="I42" s="132">
        <v>152386564</v>
      </c>
      <c r="J42" s="132">
        <v>61551196</v>
      </c>
      <c r="K42" s="132">
        <v>10.008944727071473</v>
      </c>
      <c r="L42" s="132">
        <v>67922137</v>
      </c>
      <c r="M42" s="132">
        <v>121607390</v>
      </c>
      <c r="N42" s="132">
        <v>60071967</v>
      </c>
      <c r="O42" s="132">
        <v>31683600</v>
      </c>
      <c r="P42" s="132">
        <v>2009474</v>
      </c>
      <c r="Q42" s="132">
        <v>11964484</v>
      </c>
      <c r="R42" s="132">
        <v>1555300</v>
      </c>
      <c r="S42" s="132">
        <v>2987976</v>
      </c>
      <c r="T42" s="132">
        <v>767883376</v>
      </c>
      <c r="U42" s="132">
        <v>897993773</v>
      </c>
      <c r="V42" s="148">
        <f>D42/U42*100</f>
        <v>13.547163761902834</v>
      </c>
      <c r="W42" s="92"/>
      <c r="X42" s="92">
        <f>V42-V37</f>
        <v>0.6646292534716416</v>
      </c>
    </row>
    <row r="43" spans="1:23" ht="16.5" thickBot="1">
      <c r="A43" s="126" t="s">
        <v>236</v>
      </c>
      <c r="B43" s="128"/>
      <c r="C43" s="134">
        <v>13</v>
      </c>
      <c r="D43" s="130">
        <f aca="true" t="shared" si="10" ref="D43:U43">D37-D42</f>
        <v>-4426065</v>
      </c>
      <c r="E43" s="130">
        <f t="shared" si="10"/>
        <v>-1173757</v>
      </c>
      <c r="F43" s="130">
        <f t="shared" si="10"/>
        <v>-5599822</v>
      </c>
      <c r="G43" s="130">
        <f t="shared" si="10"/>
        <v>5246139</v>
      </c>
      <c r="H43" s="130">
        <f t="shared" si="10"/>
        <v>3448515</v>
      </c>
      <c r="I43" s="130">
        <f t="shared" si="10"/>
        <v>3201317</v>
      </c>
      <c r="J43" s="130">
        <f t="shared" si="10"/>
        <v>14924088</v>
      </c>
      <c r="K43" s="130">
        <f t="shared" si="10"/>
        <v>4.381361212032395</v>
      </c>
      <c r="L43" s="130">
        <f t="shared" si="10"/>
        <v>-2884282</v>
      </c>
      <c r="M43" s="130">
        <f t="shared" si="10"/>
        <v>5620802</v>
      </c>
      <c r="N43" s="130">
        <f t="shared" si="10"/>
        <v>3173212</v>
      </c>
      <c r="O43" s="130">
        <f t="shared" si="10"/>
        <v>672300</v>
      </c>
      <c r="P43" s="130">
        <f t="shared" si="10"/>
        <v>1235089</v>
      </c>
      <c r="Q43" s="130">
        <f t="shared" si="10"/>
        <v>-2353323</v>
      </c>
      <c r="R43" s="130">
        <f t="shared" si="10"/>
        <v>374357</v>
      </c>
      <c r="S43" s="130">
        <f t="shared" si="10"/>
        <v>-162558</v>
      </c>
      <c r="T43" s="130">
        <f t="shared" si="10"/>
        <v>17571568</v>
      </c>
      <c r="U43" s="130">
        <f t="shared" si="10"/>
        <v>11971746</v>
      </c>
      <c r="V43" s="483" t="s">
        <v>130</v>
      </c>
      <c r="W43" s="92"/>
    </row>
    <row r="44" spans="1:22" ht="15.75" hidden="1">
      <c r="A44" s="168" t="s">
        <v>127</v>
      </c>
      <c r="B44" s="169"/>
      <c r="C44" s="170">
        <v>7</v>
      </c>
      <c r="D44" s="171">
        <f>'Anne-8'!D44</f>
        <v>-1077621</v>
      </c>
      <c r="E44" s="172">
        <f>'Anne-8'!E44</f>
        <v>85962</v>
      </c>
      <c r="F44" s="172">
        <f>'Anne-8'!F44</f>
        <v>-991659</v>
      </c>
      <c r="G44" s="172">
        <f>'Anne-8'!G44</f>
        <v>54809</v>
      </c>
      <c r="H44" s="172">
        <f>'Anne-8'!I44</f>
        <v>-1285</v>
      </c>
      <c r="I44" s="173"/>
      <c r="J44" s="173"/>
      <c r="K44" s="173"/>
      <c r="L44" s="172">
        <f>'Anne-8'!J44</f>
        <v>-15082</v>
      </c>
      <c r="M44" s="173"/>
      <c r="N44" s="173"/>
      <c r="O44" s="172"/>
      <c r="P44" s="173"/>
      <c r="Q44" s="172">
        <f>'Anne-8'!L44</f>
        <v>1877</v>
      </c>
      <c r="R44" s="172">
        <f>'Anne-8'!K44</f>
        <v>14760</v>
      </c>
      <c r="S44" s="173"/>
      <c r="T44" s="172">
        <f>'Anne-8'!N44</f>
        <v>66869</v>
      </c>
      <c r="U44" s="172">
        <f>'Anne-8'!O44</f>
        <v>-924790</v>
      </c>
      <c r="V44" s="174">
        <f>D44/U44</f>
        <v>1.1652602212394165</v>
      </c>
    </row>
    <row r="45" spans="1:25" ht="15">
      <c r="A45">
        <f>'Anne-5'!A46</f>
        <v>0</v>
      </c>
      <c r="B45" s="26"/>
      <c r="C45" s="26"/>
      <c r="U45" s="24"/>
      <c r="Y45" s="92"/>
    </row>
    <row r="46" spans="2:21" ht="15">
      <c r="B46" s="26"/>
      <c r="C46" s="26"/>
      <c r="U46" s="82"/>
    </row>
    <row r="47" ht="12.75">
      <c r="U47" s="311">
        <f>U41/1000000</f>
        <v>3.801099</v>
      </c>
    </row>
    <row r="48" spans="4:21" ht="12.75">
      <c r="D48" s="448">
        <f>D15/U15*100</f>
        <v>24.562496941628382</v>
      </c>
      <c r="E48" s="448"/>
      <c r="F48" s="448"/>
      <c r="G48" s="448">
        <f>G15/U15*100</f>
        <v>28.655869489739565</v>
      </c>
      <c r="H48" s="448">
        <f>H15/U15*100</f>
        <v>20.156659903182064</v>
      </c>
      <c r="I48" s="448">
        <f>I15/U15*100</f>
        <v>7.322313920446563</v>
      </c>
      <c r="J48" s="448">
        <f>J15/V15*100</f>
        <v>0</v>
      </c>
      <c r="K48" s="448">
        <f>K15/W15*100</f>
        <v>0</v>
      </c>
      <c r="L48" s="448">
        <f>L15/U15*100</f>
        <v>2.0821188371156167</v>
      </c>
      <c r="M48" s="448">
        <f>M15/U15*100</f>
        <v>7.037880219843634</v>
      </c>
      <c r="N48" s="448">
        <f>N15/U15*100</f>
        <v>10.182660688044177</v>
      </c>
      <c r="O48" s="448">
        <f>O15/U15*100</f>
        <v>0</v>
      </c>
      <c r="P48" s="448">
        <f>P15/U15*100</f>
        <v>0</v>
      </c>
      <c r="Q48" s="448">
        <f>Q15/U15*100</f>
        <v>0</v>
      </c>
      <c r="R48" s="448">
        <f>R15/U15*100</f>
        <v>0</v>
      </c>
      <c r="S48" s="448">
        <f>S15/U15*100</f>
        <v>0</v>
      </c>
      <c r="U48" s="92">
        <f>U37/1000000</f>
        <v>909.965519</v>
      </c>
    </row>
    <row r="49" spans="4:21" ht="12.75">
      <c r="D49" s="81"/>
      <c r="F49" s="81"/>
      <c r="U49" s="81"/>
    </row>
    <row r="50" spans="4:6" ht="12.75">
      <c r="D50" s="81"/>
      <c r="F50" s="81"/>
    </row>
    <row r="51" ht="12.75">
      <c r="F51" s="81"/>
    </row>
    <row r="52" ht="12.75">
      <c r="D52" s="81"/>
    </row>
    <row r="68" ht="12.75">
      <c r="S68" s="83"/>
    </row>
    <row r="69" ht="12.75">
      <c r="S69" s="83"/>
    </row>
    <row r="70" ht="12.75">
      <c r="S70" s="83"/>
    </row>
    <row r="71" ht="12.75">
      <c r="S71" s="83"/>
    </row>
    <row r="72" ht="12.75">
      <c r="S72" s="83"/>
    </row>
    <row r="73" ht="12.75">
      <c r="S73" s="83"/>
    </row>
    <row r="74" ht="12.75">
      <c r="S74" s="83"/>
    </row>
    <row r="75" ht="12.75">
      <c r="S75" s="83"/>
    </row>
    <row r="76" ht="12.75">
      <c r="S76" s="83"/>
    </row>
    <row r="77" ht="12.75">
      <c r="S77" s="83"/>
    </row>
    <row r="78" ht="12.75">
      <c r="S78" s="83"/>
    </row>
    <row r="79" ht="12.75">
      <c r="S79" s="83"/>
    </row>
    <row r="80" spans="19:20" ht="12.75">
      <c r="S80" s="83"/>
      <c r="T80" s="83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 horizontalCentered="1" verticalCentered="1"/>
  <pageMargins left="0.1968503937007874" right="0" top="0.5511811023622047" bottom="0.5511811023622047" header="0.5118110236220472" footer="0.5118110236220472"/>
  <pageSetup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xSplit="4" ySplit="8" topLeftCell="E2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2" sqref="G2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2.7109375" style="2" customWidth="1"/>
    <col min="5" max="5" width="9.8515625" style="2" customWidth="1"/>
    <col min="6" max="6" width="11.8515625" style="2" customWidth="1"/>
    <col min="7" max="9" width="12.7109375" style="2" customWidth="1"/>
    <col min="10" max="10" width="12.57421875" style="2" customWidth="1"/>
    <col min="11" max="11" width="12.7109375" style="2" customWidth="1"/>
    <col min="12" max="12" width="11.57421875" style="2" customWidth="1"/>
    <col min="13" max="13" width="12.421875" style="2" customWidth="1"/>
    <col min="14" max="14" width="10.574218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6" t="s">
        <v>113</v>
      </c>
    </row>
    <row r="2" spans="2:7" ht="14.25">
      <c r="B2" s="2" t="str">
        <f>'Anne-4'!B2</f>
        <v>No. 1-2(1)/Market Share/2013-CP&amp;M </v>
      </c>
      <c r="G2" s="2">
        <f>'Anne-4'!H2</f>
        <v>0</v>
      </c>
    </row>
    <row r="4" spans="2:3" ht="15">
      <c r="B4" s="76" t="s">
        <v>268</v>
      </c>
      <c r="C4" s="76"/>
    </row>
    <row r="5" spans="4:17" ht="14.25">
      <c r="D5" s="90">
        <v>1</v>
      </c>
      <c r="E5" s="90">
        <v>2</v>
      </c>
      <c r="F5" s="90"/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90">
        <v>8</v>
      </c>
      <c r="M5" s="90">
        <v>9</v>
      </c>
      <c r="N5" s="90">
        <v>10</v>
      </c>
      <c r="O5" s="90">
        <v>11</v>
      </c>
      <c r="P5" s="90">
        <v>12</v>
      </c>
      <c r="Q5" s="90">
        <v>13</v>
      </c>
    </row>
    <row r="6" spans="1:20" ht="15" customHeight="1">
      <c r="A6" s="563" t="s">
        <v>19</v>
      </c>
      <c r="B6" s="563" t="s">
        <v>20</v>
      </c>
      <c r="C6" s="45"/>
      <c r="D6" s="175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634" t="s">
        <v>53</v>
      </c>
      <c r="S6" s="644" t="s">
        <v>70</v>
      </c>
      <c r="T6" s="640" t="s">
        <v>120</v>
      </c>
    </row>
    <row r="7" spans="1:20" ht="15.75" customHeight="1">
      <c r="A7" s="563"/>
      <c r="B7" s="563"/>
      <c r="C7" s="631" t="s">
        <v>118</v>
      </c>
      <c r="D7" s="637" t="s">
        <v>1</v>
      </c>
      <c r="E7" s="636" t="s">
        <v>2</v>
      </c>
      <c r="F7" s="634" t="s">
        <v>52</v>
      </c>
      <c r="G7" s="629" t="s">
        <v>75</v>
      </c>
      <c r="H7" s="629" t="s">
        <v>134</v>
      </c>
      <c r="I7" s="629" t="s">
        <v>110</v>
      </c>
      <c r="J7" s="630" t="s">
        <v>59</v>
      </c>
      <c r="K7" s="629" t="s">
        <v>11</v>
      </c>
      <c r="L7" s="629" t="s">
        <v>10</v>
      </c>
      <c r="M7" s="638" t="s">
        <v>136</v>
      </c>
      <c r="N7" s="638" t="s">
        <v>146</v>
      </c>
      <c r="O7" s="630" t="s">
        <v>203</v>
      </c>
      <c r="P7" s="630" t="s">
        <v>202</v>
      </c>
      <c r="Q7" s="644" t="s">
        <v>201</v>
      </c>
      <c r="R7" s="643"/>
      <c r="S7" s="643"/>
      <c r="T7" s="641"/>
    </row>
    <row r="8" spans="1:20" ht="35.25" customHeight="1">
      <c r="A8" s="563"/>
      <c r="B8" s="563"/>
      <c r="C8" s="632"/>
      <c r="D8" s="637"/>
      <c r="E8" s="636"/>
      <c r="F8" s="635"/>
      <c r="G8" s="628"/>
      <c r="H8" s="639"/>
      <c r="I8" s="628"/>
      <c r="J8" s="630"/>
      <c r="K8" s="628"/>
      <c r="L8" s="628"/>
      <c r="M8" s="636"/>
      <c r="N8" s="636"/>
      <c r="O8" s="630"/>
      <c r="P8" s="630"/>
      <c r="Q8" s="645"/>
      <c r="R8" s="635"/>
      <c r="S8" s="635"/>
      <c r="T8" s="642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/>
      <c r="H9" s="8"/>
      <c r="I9" s="8"/>
      <c r="J9" s="8"/>
      <c r="K9" s="8"/>
      <c r="L9" s="9"/>
      <c r="M9" s="8"/>
      <c r="N9" s="35"/>
      <c r="O9" s="8"/>
      <c r="P9" s="8"/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5">
        <v>3</v>
      </c>
      <c r="D10" s="25">
        <f>'Anne-6'!D10+'Anne-7'!F10</f>
        <v>9436663</v>
      </c>
      <c r="E10" s="8"/>
      <c r="F10" s="8">
        <f>D10+E10</f>
        <v>9436663</v>
      </c>
      <c r="G10" s="207">
        <f>'Anne-6'!G10</f>
        <v>18902208</v>
      </c>
      <c r="H10" s="8">
        <f>'Anne-6'!S10+'Anne-7'!I10</f>
        <v>5838085</v>
      </c>
      <c r="I10" s="8">
        <f>'Anne-6'!I10</f>
        <v>5863892</v>
      </c>
      <c r="J10" s="8">
        <f>'Anne-7'!J10</f>
        <v>6422349</v>
      </c>
      <c r="K10" s="84">
        <f>'Anne-6'!N10</f>
        <v>11981302</v>
      </c>
      <c r="L10" s="9">
        <f>'Anne-6'!K10</f>
        <v>1858428</v>
      </c>
      <c r="M10" s="8">
        <f>'Anne-6'!V10</f>
        <v>4414731</v>
      </c>
      <c r="N10" s="35">
        <f>'Anne-6'!W10</f>
        <v>0</v>
      </c>
      <c r="O10" s="8">
        <f>'Anne-7'!L10</f>
        <v>0</v>
      </c>
      <c r="P10" s="8"/>
      <c r="Q10" s="35"/>
      <c r="R10" s="35">
        <f aca="true" t="shared" si="1" ref="R10:R37">G10+H10+I10+J10+K10+L10+Q10+P10+O10+M10+N10</f>
        <v>55280995</v>
      </c>
      <c r="S10" s="36">
        <f t="shared" si="0"/>
        <v>64717658</v>
      </c>
      <c r="T10" s="141">
        <f>D10/S10*100</f>
        <v>14.58128011987084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5">
        <v>5</v>
      </c>
      <c r="D11" s="25">
        <f>'Anne-6'!D11+'Anne-7'!F11</f>
        <v>1249026</v>
      </c>
      <c r="E11" s="8"/>
      <c r="F11" s="8">
        <f aca="true" t="shared" si="2" ref="F11:F37">D11+E11</f>
        <v>1249026</v>
      </c>
      <c r="G11" s="207">
        <f>'Anne-6'!G11</f>
        <v>4196065</v>
      </c>
      <c r="H11" s="84">
        <f>'Anne-6'!S11+'Anne-7'!I11</f>
        <v>2596410</v>
      </c>
      <c r="I11" s="84">
        <f>'Anne-6'!I11</f>
        <v>2556126</v>
      </c>
      <c r="J11" s="8">
        <f>'Anne-7'!J11</f>
        <v>0</v>
      </c>
      <c r="K11" s="8">
        <f>'Anne-6'!N11</f>
        <v>476682</v>
      </c>
      <c r="L11" s="507">
        <f>'Anne-6'!K11</f>
        <v>3588972</v>
      </c>
      <c r="M11" s="8">
        <f>'Anne-6'!V11</f>
        <v>0</v>
      </c>
      <c r="N11" s="35">
        <f>'Anne-6'!W11</f>
        <v>0</v>
      </c>
      <c r="O11" s="8">
        <f>'Anne-7'!L11</f>
        <v>0</v>
      </c>
      <c r="P11" s="8"/>
      <c r="Q11" s="35"/>
      <c r="R11" s="35">
        <f t="shared" si="1"/>
        <v>13414255</v>
      </c>
      <c r="S11" s="36">
        <f t="shared" si="0"/>
        <v>14663281</v>
      </c>
      <c r="T11" s="141">
        <f>D11/S11*100</f>
        <v>8.51805267866039</v>
      </c>
      <c r="W11" s="2">
        <v>13.041515395121522</v>
      </c>
    </row>
    <row r="12" spans="1:23" ht="15.75">
      <c r="A12" s="5">
        <v>4</v>
      </c>
      <c r="B12" s="6" t="s">
        <v>24</v>
      </c>
      <c r="C12" s="85">
        <v>7</v>
      </c>
      <c r="D12" s="25">
        <f>'Anne-6'!D12+'Anne-7'!F12</f>
        <v>3724996</v>
      </c>
      <c r="E12" s="8"/>
      <c r="F12" s="8">
        <f t="shared" si="2"/>
        <v>3724996</v>
      </c>
      <c r="G12" s="207">
        <f>'Anne-6'!G12</f>
        <v>20518049</v>
      </c>
      <c r="H12" s="84">
        <f>'Anne-6'!S12+'Anne-7'!I12</f>
        <v>8818475</v>
      </c>
      <c r="I12" s="84">
        <f>'Anne-6'!I12</f>
        <v>6747640</v>
      </c>
      <c r="J12" s="8">
        <f>'Anne-7'!J12</f>
        <v>3272417</v>
      </c>
      <c r="K12" s="84">
        <f>'Anne-6'!N12</f>
        <v>6164066</v>
      </c>
      <c r="L12" s="507">
        <f>'Anne-6'!K12</f>
        <v>4677210</v>
      </c>
      <c r="M12" s="84">
        <f>'Anne-6'!V12</f>
        <v>4398886</v>
      </c>
      <c r="N12" s="35">
        <f>'Anne-6'!W12</f>
        <v>0</v>
      </c>
      <c r="O12" s="8">
        <f>'Anne-7'!L12</f>
        <v>0</v>
      </c>
      <c r="P12" s="8"/>
      <c r="Q12" s="35"/>
      <c r="R12" s="35">
        <f t="shared" si="1"/>
        <v>54596743</v>
      </c>
      <c r="S12" s="36">
        <f t="shared" si="0"/>
        <v>58321739</v>
      </c>
      <c r="T12" s="141">
        <f>D12/S12*100</f>
        <v>6.386976904100887</v>
      </c>
      <c r="W12" s="2">
        <v>12.823562634511095</v>
      </c>
    </row>
    <row r="13" spans="1:23" ht="15">
      <c r="A13" s="5">
        <v>5</v>
      </c>
      <c r="B13" s="6" t="s">
        <v>25</v>
      </c>
      <c r="C13" s="85"/>
      <c r="D13" s="25"/>
      <c r="E13" s="8"/>
      <c r="F13" s="8">
        <f t="shared" si="2"/>
        <v>0</v>
      </c>
      <c r="G13" s="10"/>
      <c r="H13" s="8"/>
      <c r="I13" s="8"/>
      <c r="J13" s="8"/>
      <c r="K13" s="8"/>
      <c r="L13" s="9"/>
      <c r="M13" s="8"/>
      <c r="N13" s="35"/>
      <c r="O13" s="8"/>
      <c r="P13" s="8"/>
      <c r="Q13" s="35"/>
      <c r="R13" s="35">
        <f t="shared" si="1"/>
        <v>0</v>
      </c>
      <c r="S13" s="36">
        <f t="shared" si="0"/>
        <v>0</v>
      </c>
      <c r="T13" s="141"/>
      <c r="W13" s="2">
        <v>10.085041212379718</v>
      </c>
    </row>
    <row r="14" spans="1:23" ht="15.75">
      <c r="A14" s="5">
        <v>6</v>
      </c>
      <c r="B14" s="6" t="s">
        <v>26</v>
      </c>
      <c r="C14" s="85">
        <v>6</v>
      </c>
      <c r="D14" s="25">
        <f>'Anne-6'!D14+'Anne-7'!F14</f>
        <v>4327505</v>
      </c>
      <c r="E14" s="8"/>
      <c r="F14" s="8">
        <f t="shared" si="2"/>
        <v>4327505</v>
      </c>
      <c r="G14" s="207">
        <f>'Anne-6'!G14</f>
        <v>7117258</v>
      </c>
      <c r="H14" s="84">
        <f>'Anne-6'!S14+'Anne-7'!I14</f>
        <v>8818475</v>
      </c>
      <c r="I14" s="84">
        <f>'Anne-6'!I14</f>
        <v>16518850</v>
      </c>
      <c r="J14" s="8">
        <f>'Anne-7'!J14</f>
        <v>2628198</v>
      </c>
      <c r="K14" s="84">
        <f>'Anne-6'!N14</f>
        <v>8690983</v>
      </c>
      <c r="L14" s="9">
        <f>'Anne-6'!K14</f>
        <v>35773</v>
      </c>
      <c r="M14" s="84">
        <f>'Anne-6'!V14</f>
        <v>4960851</v>
      </c>
      <c r="N14" s="35">
        <f>'Anne-6'!W14</f>
        <v>988327</v>
      </c>
      <c r="O14" s="8">
        <f>'Anne-7'!L14</f>
        <v>175572</v>
      </c>
      <c r="P14" s="8"/>
      <c r="Q14" s="35"/>
      <c r="R14" s="35">
        <f t="shared" si="1"/>
        <v>49934287</v>
      </c>
      <c r="S14" s="36">
        <f t="shared" si="0"/>
        <v>54261792</v>
      </c>
      <c r="T14" s="141">
        <f>D14/S14*100</f>
        <v>7.97523421268505</v>
      </c>
      <c r="W14" s="2">
        <v>18.210636334802775</v>
      </c>
    </row>
    <row r="15" spans="1:23" ht="15.75">
      <c r="A15" s="5">
        <v>7</v>
      </c>
      <c r="B15" s="6" t="s">
        <v>27</v>
      </c>
      <c r="C15" s="85">
        <v>3</v>
      </c>
      <c r="D15" s="25">
        <f>'Anne-6'!D15+'Anne-7'!F15</f>
        <v>3084055</v>
      </c>
      <c r="E15" s="8"/>
      <c r="F15" s="8">
        <f t="shared" si="2"/>
        <v>3084055</v>
      </c>
      <c r="G15" s="10">
        <f>'Anne-6'!G15</f>
        <v>2337348</v>
      </c>
      <c r="H15" s="8">
        <f>'Anne-6'!S15+'Anne-7'!I15</f>
        <v>2132062</v>
      </c>
      <c r="I15" s="84">
        <f>'Anne-6'!I15</f>
        <v>4681275</v>
      </c>
      <c r="J15" s="8">
        <f>'Anne-7'!J15</f>
        <v>2641822</v>
      </c>
      <c r="K15" s="84">
        <f>'Anne-6'!N15</f>
        <v>3882250</v>
      </c>
      <c r="L15" s="9">
        <f>'Anne-6'!K15</f>
        <v>11092</v>
      </c>
      <c r="M15" s="8">
        <f>'Anne-6'!V15</f>
        <v>0</v>
      </c>
      <c r="N15" s="35">
        <f>'Anne-6'!W15</f>
        <v>1131142</v>
      </c>
      <c r="O15" s="8">
        <f>'Anne-7'!L15</f>
        <v>0</v>
      </c>
      <c r="P15" s="8"/>
      <c r="Q15" s="35"/>
      <c r="R15" s="35">
        <f t="shared" si="1"/>
        <v>16816991</v>
      </c>
      <c r="S15" s="36">
        <f t="shared" si="0"/>
        <v>19901046</v>
      </c>
      <c r="T15" s="141">
        <f>D15/S15*100</f>
        <v>15.496949255833083</v>
      </c>
      <c r="U15" s="23"/>
      <c r="V15" s="23"/>
      <c r="W15" s="2">
        <v>25.596780822618488</v>
      </c>
    </row>
    <row r="16" spans="1:23" ht="15.75">
      <c r="A16" s="5">
        <v>8</v>
      </c>
      <c r="B16" s="6" t="s">
        <v>81</v>
      </c>
      <c r="C16" s="85">
        <v>2</v>
      </c>
      <c r="D16" s="25">
        <f>'Anne-6'!D16+'Anne-7'!F16</f>
        <v>1535145</v>
      </c>
      <c r="E16" s="8"/>
      <c r="F16" s="8">
        <f t="shared" si="2"/>
        <v>1535145</v>
      </c>
      <c r="G16" s="207">
        <f>'Anne-6'!G16</f>
        <v>2090603</v>
      </c>
      <c r="H16" s="84">
        <f>'Anne-6'!S16+'Anne-7'!I16</f>
        <v>1465806</v>
      </c>
      <c r="I16" s="8">
        <f>'Anne-6'!I16</f>
        <v>534203</v>
      </c>
      <c r="J16" s="8">
        <f>'Anne-7'!J16</f>
        <v>149456</v>
      </c>
      <c r="K16" s="8">
        <f>'Anne-6'!N16</f>
        <v>513452</v>
      </c>
      <c r="L16" s="9">
        <f>'Anne-6'!K16</f>
        <v>742881</v>
      </c>
      <c r="M16" s="8">
        <f>'Anne-6'!V16</f>
        <v>0</v>
      </c>
      <c r="N16" s="35">
        <f>'Anne-6'!W16</f>
        <v>0</v>
      </c>
      <c r="O16" s="8">
        <f>'Anne-7'!L16</f>
        <v>0</v>
      </c>
      <c r="P16" s="8"/>
      <c r="Q16" s="35"/>
      <c r="R16" s="35">
        <f t="shared" si="1"/>
        <v>5496401</v>
      </c>
      <c r="S16" s="36">
        <f t="shared" si="0"/>
        <v>7031546</v>
      </c>
      <c r="T16" s="141">
        <f>D16/S16*100</f>
        <v>21.832254243945783</v>
      </c>
      <c r="U16" s="23"/>
      <c r="W16" s="2">
        <v>17.56694320474712</v>
      </c>
    </row>
    <row r="17" spans="1:23" ht="15.75">
      <c r="A17" s="5">
        <v>9</v>
      </c>
      <c r="B17" s="6" t="s">
        <v>82</v>
      </c>
      <c r="C17" s="85">
        <v>3</v>
      </c>
      <c r="D17" s="25">
        <f>'Anne-6'!D17+'Anne-7'!F17</f>
        <v>1232401</v>
      </c>
      <c r="E17" s="8"/>
      <c r="F17" s="8">
        <f t="shared" si="2"/>
        <v>1232401</v>
      </c>
      <c r="G17" s="207">
        <f>'Anne-6'!G17</f>
        <v>2532977</v>
      </c>
      <c r="H17" s="8">
        <f>'Anne-6'!S17+'Anne-7'!I17</f>
        <v>672626</v>
      </c>
      <c r="I17" s="8">
        <f>'Anne-6'!I17</f>
        <v>687681</v>
      </c>
      <c r="J17" s="8">
        <f>'Anne-7'!J17</f>
        <v>0</v>
      </c>
      <c r="K17" s="8">
        <f>'Anne-6'!N17</f>
        <v>267487</v>
      </c>
      <c r="L17" s="507">
        <f>'Anne-6'!K17</f>
        <v>2014339</v>
      </c>
      <c r="M17" s="8">
        <f>'Anne-6'!V17</f>
        <v>0</v>
      </c>
      <c r="N17" s="35">
        <f>'Anne-6'!W17</f>
        <v>0</v>
      </c>
      <c r="O17" s="8">
        <f>'Anne-7'!L17</f>
        <v>0</v>
      </c>
      <c r="P17" s="8"/>
      <c r="Q17" s="35"/>
      <c r="R17" s="35">
        <f t="shared" si="1"/>
        <v>6175110</v>
      </c>
      <c r="S17" s="36">
        <f t="shared" si="0"/>
        <v>7407511</v>
      </c>
      <c r="T17" s="141">
        <f>D17/S17*100</f>
        <v>16.637180829026104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5"/>
      <c r="D18" s="25"/>
      <c r="E18" s="8"/>
      <c r="F18" s="8"/>
      <c r="G18" s="10"/>
      <c r="H18" s="8"/>
      <c r="I18" s="8"/>
      <c r="J18" s="8"/>
      <c r="K18" s="8"/>
      <c r="L18" s="9"/>
      <c r="M18" s="8"/>
      <c r="N18" s="35"/>
      <c r="O18" s="8"/>
      <c r="P18" s="8"/>
      <c r="Q18" s="35"/>
      <c r="R18" s="35">
        <f t="shared" si="1"/>
        <v>0</v>
      </c>
      <c r="S18" s="36">
        <f t="shared" si="0"/>
        <v>0</v>
      </c>
      <c r="T18" s="141"/>
      <c r="W18" s="2">
        <v>17.20293779955842</v>
      </c>
    </row>
    <row r="19" spans="1:23" ht="15.75">
      <c r="A19" s="5">
        <v>11</v>
      </c>
      <c r="B19" s="6" t="s">
        <v>31</v>
      </c>
      <c r="C19" s="85">
        <v>2</v>
      </c>
      <c r="D19" s="25">
        <f>'Anne-6'!D19+'Anne-7'!F19</f>
        <v>7101531</v>
      </c>
      <c r="E19" s="8"/>
      <c r="F19" s="8">
        <f t="shared" si="2"/>
        <v>7101531</v>
      </c>
      <c r="G19" s="207">
        <f>'Anne-6'!G19</f>
        <v>16564821</v>
      </c>
      <c r="H19" s="8">
        <f>'Anne-6'!S19+'Anne-7'!I19</f>
        <v>6280514</v>
      </c>
      <c r="I19" s="8">
        <f>'Anne-6'!I19</f>
        <v>6920902</v>
      </c>
      <c r="J19" s="8">
        <f>'Anne-7'!J19</f>
        <v>5847645</v>
      </c>
      <c r="K19" s="8">
        <f>'Anne-6'!N19</f>
        <v>6586224</v>
      </c>
      <c r="L19" s="9">
        <f>'Anne-6'!K19</f>
        <v>2201043</v>
      </c>
      <c r="M19" s="8">
        <f>'Anne-6'!V19</f>
        <v>0</v>
      </c>
      <c r="N19" s="35">
        <f>'Anne-6'!W19</f>
        <v>0</v>
      </c>
      <c r="O19" s="8">
        <f>'Anne-7'!L19</f>
        <v>1924172</v>
      </c>
      <c r="P19" s="8"/>
      <c r="Q19" s="35"/>
      <c r="R19" s="35">
        <f t="shared" si="1"/>
        <v>46325321</v>
      </c>
      <c r="S19" s="36">
        <f t="shared" si="0"/>
        <v>53426852</v>
      </c>
      <c r="T19" s="141">
        <f>D19/S19*100</f>
        <v>13.292063324262488</v>
      </c>
      <c r="V19" s="23"/>
      <c r="W19" s="2">
        <v>13.102763575654794</v>
      </c>
    </row>
    <row r="20" spans="1:23" ht="15.75">
      <c r="A20" s="5">
        <v>12</v>
      </c>
      <c r="B20" s="6" t="s">
        <v>32</v>
      </c>
      <c r="C20" s="85">
        <v>2</v>
      </c>
      <c r="D20" s="25">
        <f>'Anne-6'!D20+'Anne-7'!F20</f>
        <v>8016967</v>
      </c>
      <c r="E20" s="8"/>
      <c r="F20" s="8">
        <f t="shared" si="2"/>
        <v>8016967</v>
      </c>
      <c r="G20" s="10">
        <f>'Anne-6'!G20</f>
        <v>3599838</v>
      </c>
      <c r="H20" s="8">
        <f>'Anne-6'!S20+'Anne-7'!I20</f>
        <v>2331344</v>
      </c>
      <c r="I20" s="8">
        <f>'Anne-6'!I20</f>
        <v>6489482</v>
      </c>
      <c r="J20" s="8">
        <f>'Anne-7'!J20</f>
        <v>1654458</v>
      </c>
      <c r="K20" s="84">
        <f>'Anne-6'!N20</f>
        <v>8466741</v>
      </c>
      <c r="L20" s="9">
        <f>'Anne-6'!K20</f>
        <v>4883</v>
      </c>
      <c r="M20" s="8">
        <f>'Anne-6'!V20</f>
        <v>0</v>
      </c>
      <c r="N20" s="35">
        <f>'Anne-6'!W20</f>
        <v>0</v>
      </c>
      <c r="O20" s="8">
        <f>'Anne-7'!L20</f>
        <v>436353</v>
      </c>
      <c r="P20" s="8"/>
      <c r="Q20" s="35"/>
      <c r="R20" s="35">
        <f t="shared" si="1"/>
        <v>22983099</v>
      </c>
      <c r="S20" s="36">
        <f t="shared" si="0"/>
        <v>31000066</v>
      </c>
      <c r="T20" s="141">
        <f>D20/S20*100</f>
        <v>25.861128811790273</v>
      </c>
      <c r="W20" s="2">
        <v>11.476392817874025</v>
      </c>
    </row>
    <row r="21" spans="1:23" ht="15.75">
      <c r="A21" s="5">
        <v>13</v>
      </c>
      <c r="B21" s="6" t="s">
        <v>83</v>
      </c>
      <c r="C21" s="85">
        <v>4</v>
      </c>
      <c r="D21" s="25">
        <f>'Anne-6'!D21+'Anne-7'!F21</f>
        <v>5149579</v>
      </c>
      <c r="E21" s="8"/>
      <c r="F21" s="8">
        <f t="shared" si="2"/>
        <v>5149579</v>
      </c>
      <c r="G21" s="207">
        <f>'Anne-6'!G21</f>
        <v>10209163</v>
      </c>
      <c r="H21" s="84">
        <f>'Anne-6'!S21+'Anne-7'!I21</f>
        <v>20786985</v>
      </c>
      <c r="I21" s="8">
        <f>'Anne-6'!I21</f>
        <v>4256579</v>
      </c>
      <c r="J21" s="8">
        <f>'Anne-7'!J21</f>
        <v>3929565</v>
      </c>
      <c r="K21" s="84">
        <f>'Anne-6'!N21</f>
        <v>16295647</v>
      </c>
      <c r="L21" s="9">
        <f>'Anne-6'!K21</f>
        <v>22694</v>
      </c>
      <c r="M21" s="8">
        <f>'Anne-6'!V21</f>
        <v>0</v>
      </c>
      <c r="N21" s="35">
        <f>'Anne-6'!W21</f>
        <v>1125094</v>
      </c>
      <c r="O21" s="8">
        <f>'Anne-7'!L21</f>
        <v>0</v>
      </c>
      <c r="P21" s="8"/>
      <c r="Q21" s="35"/>
      <c r="R21" s="35">
        <f t="shared" si="1"/>
        <v>56625727</v>
      </c>
      <c r="S21" s="36">
        <f t="shared" si="0"/>
        <v>61775306</v>
      </c>
      <c r="T21" s="141">
        <f>D21/S21*100</f>
        <v>8.335982989707894</v>
      </c>
      <c r="W21" s="2">
        <v>20.199704323097638</v>
      </c>
    </row>
    <row r="22" spans="1:23" ht="15.75">
      <c r="A22" s="5">
        <v>14</v>
      </c>
      <c r="B22" s="6" t="s">
        <v>34</v>
      </c>
      <c r="C22" s="85">
        <v>5</v>
      </c>
      <c r="D22" s="25">
        <f>'Anne-6'!D22+'Anne-7'!F22</f>
        <v>6612452</v>
      </c>
      <c r="E22" s="8"/>
      <c r="F22" s="8">
        <f t="shared" si="2"/>
        <v>6612452</v>
      </c>
      <c r="G22" s="207">
        <f>'Anne-6'!G22</f>
        <v>10226355</v>
      </c>
      <c r="H22" s="84">
        <f>'Anne-6'!S22+'Anne-7'!I22</f>
        <v>7189914</v>
      </c>
      <c r="I22" s="84">
        <f>'Anne-6'!I22</f>
        <v>14076683</v>
      </c>
      <c r="J22" s="8">
        <f>'Anne-7'!J22</f>
        <v>6074114</v>
      </c>
      <c r="K22" s="84">
        <f>'Anne-6'!N22</f>
        <v>17421267</v>
      </c>
      <c r="L22" s="9">
        <f>'Anne-6'!K22</f>
        <v>1312246</v>
      </c>
      <c r="M22" s="8">
        <f>'Anne-6'!V22</f>
        <v>5770597</v>
      </c>
      <c r="N22" s="35">
        <f>'Anne-6'!W22</f>
        <v>0</v>
      </c>
      <c r="O22" s="8">
        <f>'Anne-7'!L22</f>
        <v>0</v>
      </c>
      <c r="P22" s="8"/>
      <c r="Q22" s="35"/>
      <c r="R22" s="35">
        <f t="shared" si="1"/>
        <v>62071176</v>
      </c>
      <c r="S22" s="36">
        <f t="shared" si="0"/>
        <v>68683628</v>
      </c>
      <c r="T22" s="141">
        <f>D22/S22*100</f>
        <v>9.62740640316787</v>
      </c>
      <c r="W22" s="2">
        <v>16.415438804006907</v>
      </c>
    </row>
    <row r="23" spans="1:23" ht="15.75">
      <c r="A23" s="5">
        <v>15</v>
      </c>
      <c r="B23" s="6" t="s">
        <v>35</v>
      </c>
      <c r="C23" s="85">
        <v>3</v>
      </c>
      <c r="D23" s="25">
        <f>'Anne-6'!D23+'Anne-7'!F23</f>
        <v>1808999</v>
      </c>
      <c r="E23" s="8"/>
      <c r="F23" s="8">
        <f t="shared" si="2"/>
        <v>1808999</v>
      </c>
      <c r="G23" s="207">
        <f>'Anne-6'!G23</f>
        <v>2852276</v>
      </c>
      <c r="H23" s="8">
        <f>'Anne-6'!S23+'Anne-7'!I23</f>
        <v>992057</v>
      </c>
      <c r="I23" s="8">
        <f>'Anne-6'!I23</f>
        <v>1045692</v>
      </c>
      <c r="J23" s="8">
        <f>'Anne-7'!J23</f>
        <v>0</v>
      </c>
      <c r="K23" s="8">
        <f>'Anne-6'!N23</f>
        <v>328482</v>
      </c>
      <c r="L23" s="507">
        <f>'Anne-6'!K23</f>
        <v>2352414</v>
      </c>
      <c r="M23" s="8">
        <f>'Anne-6'!V23</f>
        <v>0</v>
      </c>
      <c r="N23" s="35">
        <f>'Anne-6'!W23</f>
        <v>0</v>
      </c>
      <c r="O23" s="8">
        <f>'Anne-7'!L23</f>
        <v>0</v>
      </c>
      <c r="P23" s="8"/>
      <c r="Q23" s="35"/>
      <c r="R23" s="35">
        <f t="shared" si="1"/>
        <v>7570921</v>
      </c>
      <c r="S23" s="36">
        <f t="shared" si="0"/>
        <v>9379920</v>
      </c>
      <c r="T23" s="141">
        <f>D23/S23*100</f>
        <v>19.285868109749337</v>
      </c>
      <c r="W23" s="2">
        <v>18.233066796837388</v>
      </c>
    </row>
    <row r="24" spans="1:23" ht="15">
      <c r="A24" s="5">
        <v>16</v>
      </c>
      <c r="B24" s="6" t="s">
        <v>36</v>
      </c>
      <c r="C24" s="85"/>
      <c r="D24" s="25"/>
      <c r="E24" s="8"/>
      <c r="F24" s="8"/>
      <c r="G24" s="10"/>
      <c r="H24" s="8"/>
      <c r="I24" s="8"/>
      <c r="J24" s="8"/>
      <c r="K24" s="8"/>
      <c r="L24" s="9"/>
      <c r="M24" s="8"/>
      <c r="N24" s="35"/>
      <c r="O24" s="8"/>
      <c r="P24" s="8"/>
      <c r="Q24" s="35"/>
      <c r="R24" s="35">
        <f t="shared" si="1"/>
        <v>0</v>
      </c>
      <c r="S24" s="36">
        <f t="shared" si="0"/>
        <v>0</v>
      </c>
      <c r="T24" s="141"/>
      <c r="W24" s="2">
        <v>13.323404116715686</v>
      </c>
    </row>
    <row r="25" spans="1:23" ht="15.75">
      <c r="A25" s="5">
        <v>17</v>
      </c>
      <c r="B25" s="6" t="s">
        <v>37</v>
      </c>
      <c r="C25" s="85">
        <v>2</v>
      </c>
      <c r="D25" s="25">
        <f>'Anne-6'!D25+'Anne-7'!F25</f>
        <v>4529030</v>
      </c>
      <c r="E25" s="8"/>
      <c r="F25" s="8">
        <f t="shared" si="2"/>
        <v>4529030</v>
      </c>
      <c r="G25" s="207">
        <f>'Anne-6'!G25</f>
        <v>7289389</v>
      </c>
      <c r="H25" s="8">
        <f>'Anne-6'!S25+'Anne-7'!I25</f>
        <v>4134554</v>
      </c>
      <c r="I25" s="8">
        <f>'Anne-6'!I25</f>
        <v>3168882</v>
      </c>
      <c r="J25" s="8">
        <f>'Anne-7'!J25</f>
        <v>2043209</v>
      </c>
      <c r="K25" s="8">
        <f>'Anne-6'!N25</f>
        <v>1063004</v>
      </c>
      <c r="L25" s="9">
        <f>'Anne-6'!K25</f>
        <v>2908410</v>
      </c>
      <c r="M25" s="8">
        <f>'Anne-6'!V25</f>
        <v>0</v>
      </c>
      <c r="N25" s="35">
        <f>'Anne-6'!W25</f>
        <v>0</v>
      </c>
      <c r="O25" s="8">
        <f>'Anne-7'!L25</f>
        <v>0</v>
      </c>
      <c r="P25" s="8"/>
      <c r="Q25" s="35"/>
      <c r="R25" s="35">
        <f t="shared" si="1"/>
        <v>20607448</v>
      </c>
      <c r="S25" s="36">
        <f t="shared" si="0"/>
        <v>25136478</v>
      </c>
      <c r="T25" s="141">
        <f>D25/S25*100</f>
        <v>18.017758892077083</v>
      </c>
      <c r="W25" s="2">
        <v>11.157139831728973</v>
      </c>
    </row>
    <row r="26" spans="1:23" ht="15.75">
      <c r="A26" s="5">
        <v>18</v>
      </c>
      <c r="B26" s="6" t="s">
        <v>38</v>
      </c>
      <c r="C26" s="85">
        <v>4</v>
      </c>
      <c r="D26" s="25">
        <f>'Anne-6'!D26+'Anne-7'!F26</f>
        <v>4496007</v>
      </c>
      <c r="E26" s="8"/>
      <c r="F26" s="8">
        <f t="shared" si="2"/>
        <v>4496007</v>
      </c>
      <c r="G26" s="207">
        <f>'Anne-6'!G26</f>
        <v>7107014</v>
      </c>
      <c r="H26" s="8">
        <f>'Anne-6'!S26+'Anne-7'!I26</f>
        <v>3070724</v>
      </c>
      <c r="I26" s="84">
        <f>'Anne-6'!I26</f>
        <v>4503245</v>
      </c>
      <c r="J26" s="8">
        <f>'Anne-7'!J26</f>
        <v>2449104</v>
      </c>
      <c r="K26" s="84">
        <f>'Anne-6'!N26</f>
        <v>5845234</v>
      </c>
      <c r="L26" s="9">
        <f>'Anne-6'!K26</f>
        <v>1002025</v>
      </c>
      <c r="M26" s="8">
        <f>'Anne-6'!V26</f>
        <v>0</v>
      </c>
      <c r="N26" s="35">
        <f>'Anne-6'!W26</f>
        <v>0</v>
      </c>
      <c r="O26" s="8">
        <f>'Anne-7'!L26</f>
        <v>0</v>
      </c>
      <c r="P26" s="8">
        <f>'Anne-7'!K26</f>
        <v>1727255</v>
      </c>
      <c r="Q26" s="35"/>
      <c r="R26" s="35">
        <f t="shared" si="1"/>
        <v>25704601</v>
      </c>
      <c r="S26" s="36">
        <f t="shared" si="0"/>
        <v>30200608</v>
      </c>
      <c r="T26" s="141">
        <f>D26/S26*100</f>
        <v>14.887140682730626</v>
      </c>
      <c r="U26" s="23"/>
      <c r="W26" s="2">
        <v>18.621049879510213</v>
      </c>
    </row>
    <row r="27" spans="1:23" ht="15.75">
      <c r="A27" s="5">
        <v>19</v>
      </c>
      <c r="B27" s="6" t="s">
        <v>39</v>
      </c>
      <c r="C27" s="85">
        <v>4</v>
      </c>
      <c r="D27" s="25">
        <f>'Anne-6'!D27+'Anne-7'!F27</f>
        <v>5891417</v>
      </c>
      <c r="E27" s="8"/>
      <c r="F27" s="8">
        <f t="shared" si="2"/>
        <v>5891417</v>
      </c>
      <c r="G27" s="207">
        <f>'Anne-6'!G27</f>
        <v>14836741</v>
      </c>
      <c r="H27" s="84">
        <f>'Anne-6'!S27+'Anne-7'!I27</f>
        <v>5897406</v>
      </c>
      <c r="I27" s="84">
        <f>'Anne-6'!I27</f>
        <v>9270335</v>
      </c>
      <c r="J27" s="8">
        <f>'Anne-7'!J27</f>
        <v>2423876</v>
      </c>
      <c r="K27" s="8">
        <f>'Anne-6'!N27</f>
        <v>5660460</v>
      </c>
      <c r="L27" s="9">
        <f>'Anne-6'!K27</f>
        <v>3566660</v>
      </c>
      <c r="M27" s="8">
        <f>'Anne-6'!V27</f>
        <v>0</v>
      </c>
      <c r="N27" s="35">
        <f>'Anne-6'!W27</f>
        <v>0</v>
      </c>
      <c r="O27" s="8">
        <f>'Anne-7'!L27</f>
        <v>2178127</v>
      </c>
      <c r="P27" s="8"/>
      <c r="Q27" s="35"/>
      <c r="R27" s="35">
        <f t="shared" si="1"/>
        <v>43833605</v>
      </c>
      <c r="S27" s="36">
        <f t="shared" si="0"/>
        <v>49725022</v>
      </c>
      <c r="T27" s="141">
        <f>D27/S27*100</f>
        <v>11.847992746991645</v>
      </c>
      <c r="U27" s="23"/>
      <c r="W27" s="2">
        <v>11.446058657568615</v>
      </c>
    </row>
    <row r="28" spans="1:23" ht="15.75">
      <c r="A28" s="5">
        <v>20</v>
      </c>
      <c r="B28" s="6" t="s">
        <v>40</v>
      </c>
      <c r="C28" s="85">
        <v>4</v>
      </c>
      <c r="D28" s="25">
        <f>'Anne-6'!D28+'Anne-7'!F28</f>
        <v>8087558</v>
      </c>
      <c r="E28" s="8"/>
      <c r="F28" s="8">
        <f t="shared" si="2"/>
        <v>8087558</v>
      </c>
      <c r="G28" s="207">
        <f>'Anne-6'!G28</f>
        <v>10101442</v>
      </c>
      <c r="H28" s="8">
        <f>'Anne-6'!S28+'Anne-7'!I28</f>
        <v>5408760</v>
      </c>
      <c r="I28" s="84">
        <f>'Anne-6'!I28</f>
        <v>10505044</v>
      </c>
      <c r="J28" s="8">
        <f>'Anne-7'!J28</f>
        <v>3849186</v>
      </c>
      <c r="K28" s="8">
        <f>'Anne-6'!N28</f>
        <v>2486098</v>
      </c>
      <c r="L28" s="507">
        <f>'Anne-6'!K28</f>
        <v>17859190</v>
      </c>
      <c r="M28" s="8">
        <f>'Anne-6'!V28</f>
        <v>0</v>
      </c>
      <c r="N28" s="35">
        <f>'Anne-6'!W28</f>
        <v>0</v>
      </c>
      <c r="O28" s="8">
        <f>'Anne-7'!L28</f>
        <v>1085246</v>
      </c>
      <c r="P28" s="8"/>
      <c r="Q28" s="35"/>
      <c r="R28" s="35">
        <f t="shared" si="1"/>
        <v>51294966</v>
      </c>
      <c r="S28" s="36">
        <f t="shared" si="0"/>
        <v>59382524</v>
      </c>
      <c r="T28" s="141">
        <f>D28/S28*100</f>
        <v>13.619424462321609</v>
      </c>
      <c r="W28" s="2">
        <v>9.456205902479791</v>
      </c>
    </row>
    <row r="29" spans="1:23" ht="15">
      <c r="A29" s="5">
        <v>21</v>
      </c>
      <c r="B29" s="6" t="s">
        <v>41</v>
      </c>
      <c r="C29" s="85"/>
      <c r="D29" s="25"/>
      <c r="E29" s="8"/>
      <c r="F29" s="8"/>
      <c r="G29" s="10"/>
      <c r="H29" s="8"/>
      <c r="I29" s="8"/>
      <c r="J29" s="8"/>
      <c r="K29" s="8"/>
      <c r="L29" s="9"/>
      <c r="M29" s="8"/>
      <c r="N29" s="35"/>
      <c r="O29" s="8"/>
      <c r="P29" s="8"/>
      <c r="Q29" s="35"/>
      <c r="R29" s="35">
        <f t="shared" si="1"/>
        <v>0</v>
      </c>
      <c r="S29" s="36">
        <f t="shared" si="0"/>
        <v>0</v>
      </c>
      <c r="T29" s="141"/>
      <c r="W29" s="2">
        <v>11.207944897028229</v>
      </c>
    </row>
    <row r="30" spans="1:23" ht="15.75">
      <c r="A30" s="5">
        <v>22</v>
      </c>
      <c r="B30" s="6" t="s">
        <v>84</v>
      </c>
      <c r="C30" s="85">
        <v>3</v>
      </c>
      <c r="D30" s="25">
        <f>'Anne-6'!D30+'Anne-7'!F30</f>
        <v>10204912</v>
      </c>
      <c r="E30" s="8"/>
      <c r="F30" s="8">
        <f t="shared" si="2"/>
        <v>10204912</v>
      </c>
      <c r="G30" s="207">
        <f>'Anne-6'!G30</f>
        <v>15433113</v>
      </c>
      <c r="H30" s="8">
        <f>'Anne-6'!S30+'Anne-7'!I30</f>
        <v>8536047</v>
      </c>
      <c r="I30" s="84">
        <f>'Anne-6'!I30</f>
        <v>14400071</v>
      </c>
      <c r="J30" s="8">
        <f>'Anne-7'!J30</f>
        <v>4272276</v>
      </c>
      <c r="K30" s="8">
        <f>'Anne-6'!N30</f>
        <v>7594778</v>
      </c>
      <c r="L30" s="9">
        <f>'Anne-6'!K30</f>
        <v>4767195</v>
      </c>
      <c r="M30" s="8">
        <f>'Anne-6'!V30</f>
        <v>7541316</v>
      </c>
      <c r="N30" s="35">
        <f>'Anne-6'!W30</f>
        <v>0</v>
      </c>
      <c r="O30" s="8">
        <f>'Anne-7'!L30</f>
        <v>0</v>
      </c>
      <c r="P30" s="8"/>
      <c r="Q30" s="35"/>
      <c r="R30" s="35">
        <f t="shared" si="1"/>
        <v>62544796</v>
      </c>
      <c r="S30" s="36">
        <f t="shared" si="0"/>
        <v>72749708</v>
      </c>
      <c r="T30" s="141">
        <f aca="true" t="shared" si="3" ref="T30:T38">D30/S30*100</f>
        <v>14.027426749259256</v>
      </c>
      <c r="W30" s="2">
        <v>11.264606079660437</v>
      </c>
    </row>
    <row r="31" spans="1:23" ht="15.75">
      <c r="A31" s="5">
        <v>23</v>
      </c>
      <c r="B31" s="6" t="s">
        <v>85</v>
      </c>
      <c r="C31" s="85">
        <v>6</v>
      </c>
      <c r="D31" s="25">
        <f>'Anne-6'!D31+'Anne-7'!F31</f>
        <v>4605390</v>
      </c>
      <c r="E31" s="8"/>
      <c r="F31" s="8">
        <f t="shared" si="2"/>
        <v>4605390</v>
      </c>
      <c r="G31" s="207">
        <f>'Anne-6'!G31</f>
        <v>6484305</v>
      </c>
      <c r="H31" s="84">
        <f>'Anne-6'!S31+'Anne-7'!I31</f>
        <v>5927904</v>
      </c>
      <c r="I31" s="84">
        <f>'Anne-6'!I31</f>
        <v>9261589</v>
      </c>
      <c r="J31" s="8">
        <f>'Anne-7'!J31</f>
        <v>3748747</v>
      </c>
      <c r="K31" s="84">
        <f>'Anne-6'!N31</f>
        <v>11014960</v>
      </c>
      <c r="L31" s="9">
        <f>'Anne-6'!K31</f>
        <v>109150</v>
      </c>
      <c r="M31" s="84">
        <f>'Anne-6'!V31</f>
        <v>5269519</v>
      </c>
      <c r="N31" s="35">
        <f>'Anne-6'!W31</f>
        <v>0</v>
      </c>
      <c r="O31" s="8">
        <f>'Anne-7'!L31</f>
        <v>318743</v>
      </c>
      <c r="P31" s="8"/>
      <c r="Q31" s="35"/>
      <c r="R31" s="35">
        <f t="shared" si="1"/>
        <v>42134917</v>
      </c>
      <c r="S31" s="36">
        <f t="shared" si="0"/>
        <v>46740307</v>
      </c>
      <c r="T31" s="141">
        <f t="shared" si="3"/>
        <v>9.853144524703271</v>
      </c>
      <c r="W31" s="8">
        <v>13.113051353560742</v>
      </c>
    </row>
    <row r="32" spans="1:23" ht="15.75">
      <c r="A32" s="5">
        <v>24</v>
      </c>
      <c r="B32" s="6" t="s">
        <v>44</v>
      </c>
      <c r="C32" s="85">
        <v>4</v>
      </c>
      <c r="D32" s="25">
        <f>'Anne-6'!D32+'Anne-7'!F32</f>
        <v>2964929</v>
      </c>
      <c r="E32" s="8"/>
      <c r="F32" s="8">
        <f t="shared" si="2"/>
        <v>2964929</v>
      </c>
      <c r="G32" s="207">
        <f>'Anne-6'!G32</f>
        <v>9575630</v>
      </c>
      <c r="H32" s="84">
        <f>'Anne-6'!S32+'Anne-7'!I32</f>
        <v>7263266</v>
      </c>
      <c r="I32" s="84">
        <f>'Anne-6'!I32</f>
        <v>11851390</v>
      </c>
      <c r="J32" s="8">
        <f>'Anne-7'!J32</f>
        <v>1521962</v>
      </c>
      <c r="K32" s="8">
        <f>'Anne-6'!N32</f>
        <v>2682852</v>
      </c>
      <c r="L32" s="9">
        <f>'Anne-6'!K32</f>
        <v>3082883</v>
      </c>
      <c r="M32" s="8">
        <f>'Anne-6'!V32</f>
        <v>0</v>
      </c>
      <c r="N32" s="35">
        <f>'Anne-6'!W32</f>
        <v>0</v>
      </c>
      <c r="O32" s="8">
        <f>'Anne-7'!L32</f>
        <v>1791852</v>
      </c>
      <c r="P32" s="8"/>
      <c r="Q32" s="35"/>
      <c r="R32" s="35">
        <f t="shared" si="1"/>
        <v>37769835</v>
      </c>
      <c r="S32" s="36">
        <f t="shared" si="0"/>
        <v>40734764</v>
      </c>
      <c r="T32" s="141">
        <f t="shared" si="3"/>
        <v>7.278620786903295</v>
      </c>
      <c r="W32" s="2">
        <v>0</v>
      </c>
    </row>
    <row r="33" spans="1:23" ht="15.75">
      <c r="A33" s="5">
        <v>25</v>
      </c>
      <c r="B33" s="6" t="s">
        <v>45</v>
      </c>
      <c r="C33" s="85">
        <v>5</v>
      </c>
      <c r="D33" s="25">
        <f>'Anne-6'!D33+'Anne-7'!F33</f>
        <v>2281729</v>
      </c>
      <c r="E33" s="8"/>
      <c r="F33" s="8">
        <f t="shared" si="2"/>
        <v>2281729</v>
      </c>
      <c r="G33" s="207">
        <f>'Anne-6'!G33</f>
        <v>3751235</v>
      </c>
      <c r="H33" s="84">
        <f>'Anne-6'!S33+'Anne-7'!I33</f>
        <v>3692970</v>
      </c>
      <c r="I33" s="84">
        <f>'Anne-6'!I33</f>
        <v>4365823</v>
      </c>
      <c r="J33" s="84">
        <f>'Anne-7'!J33</f>
        <v>2874101</v>
      </c>
      <c r="K33" s="8">
        <f>'Anne-6'!N33</f>
        <v>1316958</v>
      </c>
      <c r="L33" s="9">
        <f>'Anne-6'!K33</f>
        <v>2179944</v>
      </c>
      <c r="M33" s="8">
        <f>'Anne-6'!V33</f>
        <v>0</v>
      </c>
      <c r="N33" s="35">
        <f>'Anne-6'!W33</f>
        <v>0</v>
      </c>
      <c r="O33" s="8">
        <f>'Anne-7'!L33</f>
        <v>764521</v>
      </c>
      <c r="P33" s="8"/>
      <c r="Q33" s="35"/>
      <c r="R33" s="35">
        <f t="shared" si="1"/>
        <v>18945552</v>
      </c>
      <c r="S33" s="36">
        <f t="shared" si="0"/>
        <v>21227281</v>
      </c>
      <c r="T33" s="141">
        <f t="shared" si="3"/>
        <v>10.749040350481062</v>
      </c>
      <c r="W33" s="23">
        <v>0</v>
      </c>
    </row>
    <row r="34" spans="1:23" ht="15.75">
      <c r="A34" s="5">
        <v>26</v>
      </c>
      <c r="B34" s="6" t="s">
        <v>46</v>
      </c>
      <c r="C34" s="85">
        <v>4</v>
      </c>
      <c r="D34" s="25">
        <f>'Anne-6'!D34+'Anne-7'!F34</f>
        <v>1517890</v>
      </c>
      <c r="E34" s="8"/>
      <c r="F34" s="8">
        <f t="shared" si="2"/>
        <v>1517890</v>
      </c>
      <c r="G34" s="207">
        <f>'Anne-6'!G34</f>
        <v>3828097</v>
      </c>
      <c r="H34" s="8">
        <f>'Anne-6'!S34+'Anne-7'!I34</f>
        <v>855798</v>
      </c>
      <c r="I34" s="84">
        <f>'Anne-6'!I34</f>
        <v>2160677</v>
      </c>
      <c r="J34" s="8">
        <f>'Anne-7'!J34</f>
        <v>1454539</v>
      </c>
      <c r="K34" s="8">
        <f>'Anne-6'!N34</f>
        <v>0</v>
      </c>
      <c r="L34" s="507">
        <f>'Anne-6'!K34</f>
        <v>4109610</v>
      </c>
      <c r="M34" s="8">
        <f>'Anne-6'!V34</f>
        <v>0</v>
      </c>
      <c r="N34" s="35">
        <f>'Anne-6'!W34</f>
        <v>0</v>
      </c>
      <c r="O34" s="8">
        <f>'Anne-7'!L34</f>
        <v>0</v>
      </c>
      <c r="P34" s="8"/>
      <c r="Q34" s="35"/>
      <c r="R34" s="35">
        <f t="shared" si="1"/>
        <v>12408721</v>
      </c>
      <c r="S34" s="36">
        <f t="shared" si="0"/>
        <v>13926611</v>
      </c>
      <c r="T34" s="141">
        <f t="shared" si="3"/>
        <v>10.899205844121013</v>
      </c>
      <c r="W34" s="2">
        <v>11.883842284044729</v>
      </c>
    </row>
    <row r="35" spans="1:20" ht="15">
      <c r="A35" s="5"/>
      <c r="B35" s="7" t="s">
        <v>47</v>
      </c>
      <c r="C35" s="45">
        <v>5</v>
      </c>
      <c r="D35" s="70">
        <f aca="true" t="shared" si="4" ref="D35:S35">SUM(D9:D34)</f>
        <v>97858181</v>
      </c>
      <c r="E35" s="8">
        <f t="shared" si="4"/>
        <v>0</v>
      </c>
      <c r="F35" s="8">
        <f t="shared" si="4"/>
        <v>97858181</v>
      </c>
      <c r="G35" s="8">
        <f t="shared" si="4"/>
        <v>179553927</v>
      </c>
      <c r="H35" s="8">
        <f>SUM(H9:H34)</f>
        <v>112710182</v>
      </c>
      <c r="I35" s="8">
        <f t="shared" si="4"/>
        <v>139866061</v>
      </c>
      <c r="J35" s="8">
        <f t="shared" si="4"/>
        <v>57257024</v>
      </c>
      <c r="K35" s="8">
        <f>SUM(K9:K34)</f>
        <v>118738927</v>
      </c>
      <c r="L35" s="8">
        <f t="shared" si="4"/>
        <v>58407042</v>
      </c>
      <c r="M35" s="8">
        <f>SUM(M9:M34)</f>
        <v>32355900</v>
      </c>
      <c r="N35" s="25">
        <f>SUM(N9:N34)</f>
        <v>3244563</v>
      </c>
      <c r="O35" s="8">
        <f>SUM(O9:O34)</f>
        <v>8674586</v>
      </c>
      <c r="P35" s="8">
        <f>SUM(P9:P34)</f>
        <v>1727255</v>
      </c>
      <c r="Q35" s="8"/>
      <c r="R35" s="8">
        <f t="shared" si="4"/>
        <v>712535467</v>
      </c>
      <c r="S35" s="8">
        <f t="shared" si="4"/>
        <v>810393648</v>
      </c>
      <c r="T35" s="141">
        <f t="shared" si="3"/>
        <v>12.075388453686399</v>
      </c>
    </row>
    <row r="36" spans="1:20" ht="15">
      <c r="A36" s="4">
        <v>27</v>
      </c>
      <c r="B36" s="3" t="s">
        <v>48</v>
      </c>
      <c r="C36" s="4"/>
      <c r="D36" s="70"/>
      <c r="E36" s="70">
        <f>'Anne-6'!E36+'Anne-7'!G36</f>
        <v>2556692</v>
      </c>
      <c r="F36" s="8">
        <f t="shared" si="2"/>
        <v>2556692</v>
      </c>
      <c r="G36" s="10">
        <f>'Anne-6'!G36</f>
        <v>9725980</v>
      </c>
      <c r="H36" s="8">
        <f>'Anne-6'!S36+'Anne-7'!I36</f>
        <v>7786352</v>
      </c>
      <c r="I36" s="8">
        <f>'Anne-6'!I36</f>
        <v>8845576</v>
      </c>
      <c r="J36" s="8">
        <f>'Anne-7'!J36</f>
        <v>2869124</v>
      </c>
      <c r="K36" s="8">
        <f>'Anne-6'!N36</f>
        <v>5251411</v>
      </c>
      <c r="L36" s="9">
        <f>'Anne-6'!K36</f>
        <v>3133898</v>
      </c>
      <c r="M36" s="8">
        <f>'Anne-6'!V36</f>
        <v>0</v>
      </c>
      <c r="N36" s="35">
        <f>'Anne-6'!W36</f>
        <v>0</v>
      </c>
      <c r="O36" s="8">
        <f>'Anne-7'!L36</f>
        <v>882224</v>
      </c>
      <c r="P36" s="8">
        <f>'Anne-7'!K36</f>
        <v>0</v>
      </c>
      <c r="Q36" s="35"/>
      <c r="R36" s="35">
        <f t="shared" si="1"/>
        <v>38494565</v>
      </c>
      <c r="S36" s="36">
        <f>R36+F36</f>
        <v>41051257</v>
      </c>
      <c r="T36" s="141">
        <f t="shared" si="3"/>
        <v>0</v>
      </c>
    </row>
    <row r="37" spans="1:22" ht="15">
      <c r="A37" s="4">
        <v>28</v>
      </c>
      <c r="B37" s="3" t="s">
        <v>49</v>
      </c>
      <c r="C37" s="4"/>
      <c r="D37" s="70"/>
      <c r="E37" s="70">
        <f>'Anne-6'!E37+'Anne-7'!G37</f>
        <v>1184414</v>
      </c>
      <c r="F37" s="8">
        <f t="shared" si="2"/>
        <v>1184414</v>
      </c>
      <c r="G37" s="10">
        <f>'Anne-6'!G37</f>
        <v>4107494</v>
      </c>
      <c r="H37" s="8">
        <f>'Anne-6'!S37+'Anne-7'!I37</f>
        <v>5925983</v>
      </c>
      <c r="I37" s="8">
        <f>'Anne-6'!I37</f>
        <v>6831544</v>
      </c>
      <c r="J37" s="8">
        <f>'Anne-7'!J37</f>
        <v>3420790</v>
      </c>
      <c r="K37" s="8">
        <f>'Anne-6'!N37</f>
        <v>3237854</v>
      </c>
      <c r="L37" s="9">
        <f>'Anne-6'!K37</f>
        <v>1704239</v>
      </c>
      <c r="M37" s="8">
        <f>'Anne-6'!V37</f>
        <v>0</v>
      </c>
      <c r="N37" s="35">
        <f>'Anne-6'!W37</f>
        <v>0</v>
      </c>
      <c r="O37" s="8">
        <f>'Anne-7'!L37</f>
        <v>0</v>
      </c>
      <c r="P37" s="8">
        <f>'Anne-7'!K37</f>
        <v>0</v>
      </c>
      <c r="Q37" s="35">
        <f>'Anne-6'!X37</f>
        <v>2825418</v>
      </c>
      <c r="R37" s="35">
        <f t="shared" si="1"/>
        <v>28053322</v>
      </c>
      <c r="S37" s="36">
        <f>R37+F37</f>
        <v>29237736</v>
      </c>
      <c r="T37" s="141">
        <f t="shared" si="3"/>
        <v>0</v>
      </c>
      <c r="V37" s="23"/>
    </row>
    <row r="38" spans="1:20" s="97" customFormat="1" ht="15">
      <c r="A38" s="498"/>
      <c r="B38" s="481" t="s">
        <v>50</v>
      </c>
      <c r="C38" s="498">
        <v>5</v>
      </c>
      <c r="D38" s="70">
        <f aca="true" t="shared" si="5" ref="D38:S38">SUM(D35:D37)</f>
        <v>97858181</v>
      </c>
      <c r="E38" s="70">
        <f t="shared" si="5"/>
        <v>3741106</v>
      </c>
      <c r="F38" s="530">
        <f t="shared" si="5"/>
        <v>101599287</v>
      </c>
      <c r="G38" s="70">
        <f t="shared" si="5"/>
        <v>193387401</v>
      </c>
      <c r="H38" s="70">
        <f>SUM(H35:H37)</f>
        <v>126422517</v>
      </c>
      <c r="I38" s="70">
        <f t="shared" si="5"/>
        <v>155543181</v>
      </c>
      <c r="J38" s="70">
        <f t="shared" si="5"/>
        <v>63546938</v>
      </c>
      <c r="K38" s="70">
        <f>SUM(K35:K37)</f>
        <v>127228192</v>
      </c>
      <c r="L38" s="70">
        <f t="shared" si="5"/>
        <v>63245179</v>
      </c>
      <c r="M38" s="70">
        <f>SUM(M35:M37)</f>
        <v>32355900</v>
      </c>
      <c r="N38" s="70">
        <f>SUM(N35:N37)</f>
        <v>3244563</v>
      </c>
      <c r="O38" s="70">
        <f>SUM(O35:O37)</f>
        <v>9556810</v>
      </c>
      <c r="P38" s="70">
        <f>SUM(P35:P37)</f>
        <v>1727255</v>
      </c>
      <c r="Q38" s="70">
        <f t="shared" si="5"/>
        <v>2825418</v>
      </c>
      <c r="R38" s="70">
        <f t="shared" si="5"/>
        <v>779083354</v>
      </c>
      <c r="S38" s="70">
        <f t="shared" si="5"/>
        <v>880682641</v>
      </c>
      <c r="T38" s="499">
        <f t="shared" si="3"/>
        <v>11.111628235215777</v>
      </c>
    </row>
    <row r="39" spans="1:22" ht="14.25">
      <c r="A39" s="107" t="s">
        <v>51</v>
      </c>
      <c r="B39" s="108"/>
      <c r="C39" s="108"/>
      <c r="D39" s="139">
        <f>D38/$S$38*100</f>
        <v>11.111628235215777</v>
      </c>
      <c r="E39" s="139">
        <f aca="true" t="shared" si="6" ref="E39:J39">E38/$S$38*100</f>
        <v>0.42479615537238685</v>
      </c>
      <c r="F39" s="139">
        <f t="shared" si="6"/>
        <v>11.536424390588165</v>
      </c>
      <c r="G39" s="139">
        <f t="shared" si="6"/>
        <v>21.958806952344595</v>
      </c>
      <c r="H39" s="139">
        <f t="shared" si="6"/>
        <v>14.355059486178746</v>
      </c>
      <c r="I39" s="139">
        <f t="shared" si="6"/>
        <v>17.661660825218878</v>
      </c>
      <c r="J39" s="139">
        <f t="shared" si="6"/>
        <v>7.215645573284327</v>
      </c>
      <c r="K39" s="139">
        <f aca="true" t="shared" si="7" ref="K39:R39">K38/$S$38*100</f>
        <v>14.446542497480655</v>
      </c>
      <c r="L39" s="139">
        <f t="shared" si="7"/>
        <v>7.181381357555337</v>
      </c>
      <c r="M39" s="139">
        <f t="shared" si="7"/>
        <v>3.6739568254985056</v>
      </c>
      <c r="N39" s="139">
        <f t="shared" si="7"/>
        <v>0.36841455127534417</v>
      </c>
      <c r="O39" s="139">
        <f t="shared" si="7"/>
        <v>1.0851593474294448</v>
      </c>
      <c r="P39" s="139">
        <f t="shared" si="7"/>
        <v>0.19612683611416837</v>
      </c>
      <c r="Q39" s="139">
        <f t="shared" si="7"/>
        <v>0.32082135703183456</v>
      </c>
      <c r="R39" s="139">
        <f t="shared" si="7"/>
        <v>88.46357560941183</v>
      </c>
      <c r="S39" s="139">
        <f>S38/S38*100</f>
        <v>100</v>
      </c>
      <c r="T39" s="139"/>
      <c r="V39" s="23"/>
    </row>
    <row r="40" spans="1:20" ht="27.75" customHeight="1" hidden="1">
      <c r="A40" s="112"/>
      <c r="B40" s="115" t="s">
        <v>108</v>
      </c>
      <c r="C40" s="116"/>
      <c r="D40" s="113">
        <f>D35/S35</f>
        <v>0.12075388453686399</v>
      </c>
      <c r="E40" s="113">
        <f>E35/S35</f>
        <v>0</v>
      </c>
      <c r="F40" s="113">
        <f>F35/S35</f>
        <v>0.12075388453686399</v>
      </c>
      <c r="G40" s="113">
        <f>G35/S35</f>
        <v>0.22156383807193908</v>
      </c>
      <c r="H40" s="113"/>
      <c r="I40" s="113">
        <f>I35/S35</f>
        <v>0.17259027306689848</v>
      </c>
      <c r="J40" s="113"/>
      <c r="K40" s="113">
        <f>K35/S35</f>
        <v>0.1465200613220996</v>
      </c>
      <c r="L40" s="113">
        <f>L35/S35</f>
        <v>0.0720724331245005</v>
      </c>
      <c r="M40" s="113"/>
      <c r="N40" s="113"/>
      <c r="O40" s="113"/>
      <c r="P40" s="113"/>
      <c r="Q40" s="113">
        <f>Q35/S35</f>
        <v>0</v>
      </c>
      <c r="R40" s="113">
        <f>R35/S35</f>
        <v>0.879246115463136</v>
      </c>
      <c r="S40" s="113">
        <f>S35/S35</f>
        <v>1</v>
      </c>
      <c r="T40" s="144"/>
    </row>
    <row r="41" spans="1:20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0"/>
    </row>
    <row r="42" spans="1:20" ht="14.25">
      <c r="A42" s="107" t="str">
        <f>'Anne-4'!A40</f>
        <v>Conn. As on 31.08.2013</v>
      </c>
      <c r="B42" s="108"/>
      <c r="C42" s="118">
        <v>5</v>
      </c>
      <c r="D42" s="8">
        <v>97932747</v>
      </c>
      <c r="E42" s="8">
        <v>4020170</v>
      </c>
      <c r="F42" s="541">
        <v>101952917</v>
      </c>
      <c r="G42" s="8">
        <v>192222866</v>
      </c>
      <c r="H42" s="8">
        <v>126755483</v>
      </c>
      <c r="I42" s="8">
        <v>154337362</v>
      </c>
      <c r="J42" s="8">
        <v>63690505</v>
      </c>
      <c r="K42" s="8">
        <v>126020313</v>
      </c>
      <c r="L42" s="8">
        <v>62602380</v>
      </c>
      <c r="M42" s="8">
        <v>32253714</v>
      </c>
      <c r="N42" s="8">
        <v>2929783</v>
      </c>
      <c r="O42" s="8">
        <v>9569500</v>
      </c>
      <c r="P42" s="8">
        <v>1608525</v>
      </c>
      <c r="Q42" s="8">
        <v>2760361</v>
      </c>
      <c r="R42" s="8">
        <v>774750792</v>
      </c>
      <c r="S42" s="8">
        <v>876703709</v>
      </c>
      <c r="T42" s="143">
        <f>(D42)/S42*100</f>
        <v>11.170563782797913</v>
      </c>
    </row>
    <row r="43" spans="1:22" ht="14.25">
      <c r="A43" s="107" t="str">
        <f>'Anne-4'!A41</f>
        <v>Addition during September 2013</v>
      </c>
      <c r="B43" s="108"/>
      <c r="C43" s="118">
        <v>11</v>
      </c>
      <c r="D43" s="8">
        <f aca="true" t="shared" si="8" ref="D43:S43">D38-D42</f>
        <v>-74566</v>
      </c>
      <c r="E43" s="8">
        <f t="shared" si="8"/>
        <v>-279064</v>
      </c>
      <c r="F43" s="8">
        <f t="shared" si="8"/>
        <v>-353630</v>
      </c>
      <c r="G43" s="8">
        <f t="shared" si="8"/>
        <v>1164535</v>
      </c>
      <c r="H43" s="8">
        <f t="shared" si="8"/>
        <v>-332966</v>
      </c>
      <c r="I43" s="8">
        <f t="shared" si="8"/>
        <v>1205819</v>
      </c>
      <c r="J43" s="8">
        <f t="shared" si="8"/>
        <v>-143567</v>
      </c>
      <c r="K43" s="8">
        <f t="shared" si="8"/>
        <v>1207879</v>
      </c>
      <c r="L43" s="8">
        <f t="shared" si="8"/>
        <v>642799</v>
      </c>
      <c r="M43" s="8">
        <f>M38-M42</f>
        <v>102186</v>
      </c>
      <c r="N43" s="8">
        <f>N38-N42</f>
        <v>314780</v>
      </c>
      <c r="O43" s="8">
        <f>O38-O42</f>
        <v>-12690</v>
      </c>
      <c r="P43" s="8">
        <f>P38-P42</f>
        <v>118730</v>
      </c>
      <c r="Q43" s="8">
        <f t="shared" si="8"/>
        <v>65057</v>
      </c>
      <c r="R43" s="8">
        <f t="shared" si="8"/>
        <v>4332562</v>
      </c>
      <c r="S43" s="8">
        <f t="shared" si="8"/>
        <v>3978932</v>
      </c>
      <c r="T43" s="488" t="s">
        <v>130</v>
      </c>
      <c r="V43" s="158">
        <f>T38-T42</f>
        <v>-0.05893554758213604</v>
      </c>
    </row>
    <row r="44" spans="1:22" ht="14.25">
      <c r="A44" s="107" t="str">
        <f>'Anne-4'!A42</f>
        <v>Conn. As on 31.03.2013</v>
      </c>
      <c r="B44" s="110"/>
      <c r="C44" s="4">
        <v>5</v>
      </c>
      <c r="D44" s="8">
        <v>101206625</v>
      </c>
      <c r="E44" s="8">
        <v>5000825</v>
      </c>
      <c r="F44" s="541">
        <v>106207450</v>
      </c>
      <c r="G44" s="8">
        <v>188196071</v>
      </c>
      <c r="H44" s="8">
        <v>122972717</v>
      </c>
      <c r="I44" s="8">
        <v>152353654</v>
      </c>
      <c r="J44" s="8">
        <v>66416138</v>
      </c>
      <c r="K44" s="8">
        <v>121607390</v>
      </c>
      <c r="L44" s="8">
        <v>60071967</v>
      </c>
      <c r="M44" s="8">
        <v>31683600</v>
      </c>
      <c r="N44" s="8">
        <v>2009474</v>
      </c>
      <c r="O44" s="8">
        <v>11912010</v>
      </c>
      <c r="P44" s="8">
        <v>1367658</v>
      </c>
      <c r="Q44" s="8">
        <v>2987976</v>
      </c>
      <c r="R44" s="8">
        <v>761578655</v>
      </c>
      <c r="S44" s="8">
        <v>867786105</v>
      </c>
      <c r="T44" s="145">
        <f>(D44)/S44*100</f>
        <v>11.662623360395935</v>
      </c>
      <c r="V44" s="158">
        <f>T38-T44</f>
        <v>-0.5509951251801581</v>
      </c>
    </row>
    <row r="45" spans="1:20" ht="14.25">
      <c r="A45" s="107" t="str">
        <f>'Anne-4'!A43</f>
        <v>Addition during 2013-14</v>
      </c>
      <c r="B45" s="108"/>
      <c r="C45" s="4">
        <v>13</v>
      </c>
      <c r="D45" s="8">
        <f>D38-D44</f>
        <v>-3348444</v>
      </c>
      <c r="E45" s="541">
        <f aca="true" t="shared" si="9" ref="E45:Q45">E38-E44</f>
        <v>-1259719</v>
      </c>
      <c r="F45" s="8">
        <f t="shared" si="9"/>
        <v>-4608163</v>
      </c>
      <c r="G45" s="8">
        <f t="shared" si="9"/>
        <v>5191330</v>
      </c>
      <c r="H45" s="8">
        <f t="shared" si="9"/>
        <v>3449800</v>
      </c>
      <c r="I45" s="8">
        <f t="shared" si="9"/>
        <v>3189527</v>
      </c>
      <c r="J45" s="8">
        <f t="shared" si="9"/>
        <v>-2869200</v>
      </c>
      <c r="K45" s="8">
        <f t="shared" si="9"/>
        <v>5620802</v>
      </c>
      <c r="L45" s="8">
        <f t="shared" si="9"/>
        <v>3173212</v>
      </c>
      <c r="M45" s="8">
        <f>M38-M44</f>
        <v>672300</v>
      </c>
      <c r="N45" s="8">
        <f>N38-N44</f>
        <v>1235089</v>
      </c>
      <c r="O45" s="8">
        <f>O38-O44</f>
        <v>-2355200</v>
      </c>
      <c r="P45" s="8">
        <f>P38-P44</f>
        <v>359597</v>
      </c>
      <c r="Q45" s="8">
        <f t="shared" si="9"/>
        <v>-162558</v>
      </c>
      <c r="R45" s="8">
        <f>R38-R44</f>
        <v>17504699</v>
      </c>
      <c r="S45" s="8">
        <f>S38-S44</f>
        <v>12896536</v>
      </c>
      <c r="T45" s="488" t="s">
        <v>130</v>
      </c>
    </row>
    <row r="46" spans="2:20" ht="15">
      <c r="B46" s="26"/>
      <c r="C46" s="26"/>
      <c r="S46" s="23"/>
      <c r="T46" s="23"/>
    </row>
    <row r="47" spans="2:20" ht="15">
      <c r="B47" s="26"/>
      <c r="C47" s="26"/>
      <c r="D47" s="327">
        <f>D45/D44*100</f>
        <v>-3.3085225399028966</v>
      </c>
      <c r="I47" s="23"/>
      <c r="K47" s="23"/>
      <c r="S47" s="327">
        <f>S45/S44*100</f>
        <v>1.4861422562187718</v>
      </c>
      <c r="T47" s="23"/>
    </row>
    <row r="48" spans="2:19" ht="15">
      <c r="B48" s="26"/>
      <c r="C48" s="26"/>
      <c r="D48" s="23"/>
      <c r="I48" s="23"/>
      <c r="S48" s="23"/>
    </row>
    <row r="49" spans="2:19" ht="15">
      <c r="B49" s="26"/>
      <c r="C49" s="26"/>
      <c r="D49" s="23"/>
      <c r="S49" s="23">
        <f>S11+S23</f>
        <v>24043201</v>
      </c>
    </row>
    <row r="50" spans="2:19" ht="15">
      <c r="B50" s="26"/>
      <c r="C50" s="26"/>
      <c r="S50" s="23"/>
    </row>
    <row r="51" spans="5:19" ht="14.25">
      <c r="E51" s="23"/>
      <c r="S51" s="23"/>
    </row>
    <row r="52" ht="14.25">
      <c r="R52" s="23"/>
    </row>
  </sheetData>
  <sheetProtection/>
  <mergeCells count="20">
    <mergeCell ref="T6:T8"/>
    <mergeCell ref="M7:M8"/>
    <mergeCell ref="R6:R8"/>
    <mergeCell ref="O7:O8"/>
    <mergeCell ref="S6:S8"/>
    <mergeCell ref="Q7:Q8"/>
    <mergeCell ref="J7:J8"/>
    <mergeCell ref="P7:P8"/>
    <mergeCell ref="I7:I8"/>
    <mergeCell ref="G7:G8"/>
    <mergeCell ref="K7:K8"/>
    <mergeCell ref="L7:L8"/>
    <mergeCell ref="N7:N8"/>
    <mergeCell ref="H7:H8"/>
    <mergeCell ref="F7:F8"/>
    <mergeCell ref="E7:E8"/>
    <mergeCell ref="A6:A8"/>
    <mergeCell ref="B6:B8"/>
    <mergeCell ref="C7:C8"/>
    <mergeCell ref="D7:D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 horizontalCentered="1" verticalCentered="1"/>
  <pageMargins left="0.1968503937007874" right="0" top="0.6299212598425197" bottom="0.2362204724409449" header="0.5118110236220472" footer="0.5118110236220472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" sqref="F2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2.710937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6" t="s">
        <v>112</v>
      </c>
    </row>
    <row r="2" ht="14.25">
      <c r="B2" s="2" t="str">
        <f>'Anne-5'!B2</f>
        <v>No. 1-2(1)/Market Share/2013-CP&amp;M </v>
      </c>
    </row>
    <row r="4" spans="2:3" ht="15">
      <c r="B4" s="76" t="s">
        <v>269</v>
      </c>
      <c r="C4" s="76"/>
    </row>
    <row r="5" spans="4:24" ht="14.25">
      <c r="D5" s="90">
        <v>1</v>
      </c>
      <c r="E5" s="90">
        <v>2</v>
      </c>
      <c r="F5" s="90"/>
      <c r="G5" s="90">
        <v>3</v>
      </c>
      <c r="H5" s="90"/>
      <c r="I5" s="90">
        <v>4</v>
      </c>
      <c r="J5" s="90"/>
      <c r="K5" s="90">
        <v>5</v>
      </c>
      <c r="L5" s="90"/>
      <c r="M5" s="90"/>
      <c r="N5" s="90">
        <v>6</v>
      </c>
      <c r="O5" s="90"/>
      <c r="P5" s="90"/>
      <c r="Q5" s="90"/>
      <c r="R5" s="90"/>
      <c r="S5" s="90">
        <v>7</v>
      </c>
      <c r="T5" s="90"/>
      <c r="U5" s="90"/>
      <c r="V5" s="90">
        <v>8</v>
      </c>
      <c r="W5" s="90">
        <v>9</v>
      </c>
      <c r="X5" s="90">
        <v>10</v>
      </c>
    </row>
    <row r="6" spans="1:30" ht="15">
      <c r="A6" s="563" t="s">
        <v>19</v>
      </c>
      <c r="B6" s="563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654" t="s">
        <v>53</v>
      </c>
      <c r="Z6" s="646" t="s">
        <v>70</v>
      </c>
      <c r="AA6" s="659" t="s">
        <v>120</v>
      </c>
      <c r="AB6" s="657" t="s">
        <v>99</v>
      </c>
      <c r="AC6" s="657"/>
      <c r="AD6" s="657"/>
    </row>
    <row r="7" spans="1:30" s="41" customFormat="1" ht="15.75" customHeight="1">
      <c r="A7" s="563"/>
      <c r="B7" s="563"/>
      <c r="C7" s="567" t="s">
        <v>118</v>
      </c>
      <c r="D7" s="656" t="s">
        <v>1</v>
      </c>
      <c r="E7" s="653" t="s">
        <v>2</v>
      </c>
      <c r="F7" s="654" t="s">
        <v>52</v>
      </c>
      <c r="G7" s="646" t="s">
        <v>54</v>
      </c>
      <c r="H7" s="433" t="s">
        <v>3</v>
      </c>
      <c r="I7" s="646" t="s">
        <v>110</v>
      </c>
      <c r="J7" s="434"/>
      <c r="K7" s="646" t="s">
        <v>55</v>
      </c>
      <c r="L7" s="434" t="s">
        <v>10</v>
      </c>
      <c r="M7" s="648" t="s">
        <v>14</v>
      </c>
      <c r="N7" s="646" t="s">
        <v>56</v>
      </c>
      <c r="O7" s="650" t="s">
        <v>11</v>
      </c>
      <c r="P7" s="651"/>
      <c r="Q7" s="651"/>
      <c r="R7" s="652"/>
      <c r="S7" s="646" t="s">
        <v>117</v>
      </c>
      <c r="T7" s="648" t="s">
        <v>13</v>
      </c>
      <c r="U7" s="648" t="s">
        <v>8</v>
      </c>
      <c r="V7" s="649" t="s">
        <v>136</v>
      </c>
      <c r="W7" s="649" t="s">
        <v>146</v>
      </c>
      <c r="X7" s="646" t="s">
        <v>201</v>
      </c>
      <c r="Y7" s="658"/>
      <c r="Z7" s="658"/>
      <c r="AA7" s="660"/>
      <c r="AB7" s="657"/>
      <c r="AC7" s="657"/>
      <c r="AD7" s="657"/>
    </row>
    <row r="8" spans="1:32" s="41" customFormat="1" ht="30.75" customHeight="1">
      <c r="A8" s="563"/>
      <c r="B8" s="563"/>
      <c r="C8" s="568"/>
      <c r="D8" s="656"/>
      <c r="E8" s="653"/>
      <c r="F8" s="655"/>
      <c r="G8" s="647"/>
      <c r="H8" s="75" t="s">
        <v>75</v>
      </c>
      <c r="I8" s="647"/>
      <c r="J8" s="432" t="s">
        <v>107</v>
      </c>
      <c r="K8" s="647"/>
      <c r="L8" s="435" t="s">
        <v>4</v>
      </c>
      <c r="M8" s="646"/>
      <c r="N8" s="647"/>
      <c r="O8" s="435"/>
      <c r="P8" s="432" t="s">
        <v>12</v>
      </c>
      <c r="Q8" s="432" t="s">
        <v>7</v>
      </c>
      <c r="R8" s="432" t="s">
        <v>9</v>
      </c>
      <c r="S8" s="647"/>
      <c r="T8" s="646"/>
      <c r="U8" s="646"/>
      <c r="V8" s="649"/>
      <c r="W8" s="649"/>
      <c r="X8" s="647"/>
      <c r="Y8" s="655"/>
      <c r="Z8" s="655"/>
      <c r="AA8" s="661"/>
      <c r="AB8" s="52" t="s">
        <v>47</v>
      </c>
      <c r="AC8" s="45" t="s">
        <v>87</v>
      </c>
      <c r="AD8" s="45" t="s">
        <v>88</v>
      </c>
      <c r="AE8" s="41" t="s">
        <v>122</v>
      </c>
      <c r="AF8" s="436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0"/>
      <c r="P9" s="70"/>
      <c r="Q9" s="70"/>
      <c r="R9" s="206"/>
      <c r="S9" s="70">
        <f>T9+U9</f>
        <v>0</v>
      </c>
      <c r="T9" s="206"/>
      <c r="U9" s="206"/>
      <c r="V9" s="8"/>
      <c r="W9" s="8"/>
      <c r="X9" s="8"/>
      <c r="Y9" s="35">
        <f aca="true" t="shared" si="0" ref="Y9:Y34">G9+I9+K9+N9+S9+V9+W9+X9</f>
        <v>0</v>
      </c>
      <c r="Z9" s="36">
        <f aca="true" t="shared" si="1" ref="Z9:Z34">Y9+F9</f>
        <v>0</v>
      </c>
      <c r="AA9" s="55"/>
      <c r="AB9" s="46">
        <f>AC9+AD9</f>
        <v>212193</v>
      </c>
      <c r="AC9" s="38">
        <f>AF9-AD9</f>
        <v>122518</v>
      </c>
      <c r="AD9" s="38">
        <v>89675</v>
      </c>
      <c r="AF9" s="100">
        <v>212193</v>
      </c>
      <c r="AG9" s="2">
        <v>105270</v>
      </c>
    </row>
    <row r="10" spans="1:36" ht="13.5" customHeight="1">
      <c r="A10" s="5">
        <v>2</v>
      </c>
      <c r="B10" s="6" t="s">
        <v>22</v>
      </c>
      <c r="C10" s="85">
        <v>3</v>
      </c>
      <c r="D10" s="70">
        <f>AB10</f>
        <v>9349505</v>
      </c>
      <c r="E10" s="8"/>
      <c r="F10" s="8">
        <f>D10+E10</f>
        <v>9349505</v>
      </c>
      <c r="G10" s="207">
        <f aca="true" t="shared" si="2" ref="G10:G37">H10</f>
        <v>18902208</v>
      </c>
      <c r="H10" s="529">
        <v>18902208</v>
      </c>
      <c r="I10" s="8">
        <f>J10</f>
        <v>5863892</v>
      </c>
      <c r="J10" s="529">
        <v>5863892</v>
      </c>
      <c r="K10" s="8">
        <f>L10+M10</f>
        <v>1858428</v>
      </c>
      <c r="L10" s="529">
        <v>1858428</v>
      </c>
      <c r="M10" s="8"/>
      <c r="N10" s="84">
        <f aca="true" t="shared" si="3" ref="N10:N18">O10+P10+Q10</f>
        <v>11981302</v>
      </c>
      <c r="O10" s="70"/>
      <c r="P10" s="529">
        <v>11981302</v>
      </c>
      <c r="Q10" s="70"/>
      <c r="R10" s="70"/>
      <c r="S10" s="70">
        <f aca="true" t="shared" si="4" ref="S10:S37">T10+U10</f>
        <v>0</v>
      </c>
      <c r="T10" s="70">
        <v>0</v>
      </c>
      <c r="U10" s="70"/>
      <c r="V10" s="8">
        <v>4414731</v>
      </c>
      <c r="W10" s="8"/>
      <c r="X10" s="8"/>
      <c r="Y10" s="35">
        <f t="shared" si="0"/>
        <v>43020561</v>
      </c>
      <c r="Z10" s="36">
        <f t="shared" si="1"/>
        <v>52370066</v>
      </c>
      <c r="AA10" s="143">
        <f>(D10)/Z10*100</f>
        <v>17.85276535645382</v>
      </c>
      <c r="AB10" s="46">
        <f aca="true" t="shared" si="5" ref="AB10:AB34">AC10+AD10</f>
        <v>9349505</v>
      </c>
      <c r="AC10" s="38">
        <f aca="true" t="shared" si="6" ref="AC10:AC34">AF10-AD10</f>
        <v>4253753</v>
      </c>
      <c r="AD10" s="38">
        <v>5095752</v>
      </c>
      <c r="AF10" s="159">
        <v>9349505</v>
      </c>
      <c r="AG10" s="2">
        <v>4078007</v>
      </c>
      <c r="AI10" s="2">
        <v>7694250</v>
      </c>
      <c r="AJ10" s="23">
        <f aca="true" t="shared" si="7" ref="AJ10:AJ34">AI10-S10</f>
        <v>7694250</v>
      </c>
    </row>
    <row r="11" spans="1:36" ht="16.5" customHeight="1">
      <c r="A11" s="5">
        <v>3</v>
      </c>
      <c r="B11" s="6" t="s">
        <v>23</v>
      </c>
      <c r="C11" s="85">
        <v>5</v>
      </c>
      <c r="D11" s="70">
        <f>AB11</f>
        <v>1153377</v>
      </c>
      <c r="E11" s="8"/>
      <c r="F11" s="8">
        <f aca="true" t="shared" si="8" ref="F11:F37">D11+E11</f>
        <v>1153377</v>
      </c>
      <c r="G11" s="207">
        <f t="shared" si="2"/>
        <v>4196065</v>
      </c>
      <c r="H11" s="529">
        <v>4196065</v>
      </c>
      <c r="I11" s="84">
        <f>J11</f>
        <v>2556126</v>
      </c>
      <c r="J11" s="529">
        <v>2556126</v>
      </c>
      <c r="K11" s="84">
        <f aca="true" t="shared" si="9" ref="K11:K38">L11+M11</f>
        <v>3588972</v>
      </c>
      <c r="L11" s="3"/>
      <c r="M11" s="529">
        <v>3588972</v>
      </c>
      <c r="N11" s="8">
        <f t="shared" si="3"/>
        <v>476682</v>
      </c>
      <c r="O11" s="70"/>
      <c r="P11" s="529">
        <v>476682</v>
      </c>
      <c r="Q11" s="70"/>
      <c r="R11" s="70"/>
      <c r="S11" s="93">
        <f>T11+U11</f>
        <v>2596410</v>
      </c>
      <c r="T11" s="529">
        <v>2596410</v>
      </c>
      <c r="U11" s="70"/>
      <c r="V11" s="8"/>
      <c r="W11" s="8"/>
      <c r="X11" s="8"/>
      <c r="Y11" s="35">
        <f t="shared" si="0"/>
        <v>13414255</v>
      </c>
      <c r="Z11" s="36">
        <f t="shared" si="1"/>
        <v>14567632</v>
      </c>
      <c r="AA11" s="143">
        <f>(D11)/Z11*100</f>
        <v>7.917395222504248</v>
      </c>
      <c r="AB11" s="46">
        <f t="shared" si="5"/>
        <v>1153377</v>
      </c>
      <c r="AC11" s="38">
        <f t="shared" si="6"/>
        <v>832906</v>
      </c>
      <c r="AD11" s="38">
        <v>320471</v>
      </c>
      <c r="AF11" s="159">
        <v>1153377</v>
      </c>
      <c r="AG11" s="2">
        <v>1009899</v>
      </c>
      <c r="AI11" s="2">
        <v>1880216</v>
      </c>
      <c r="AJ11" s="23">
        <f t="shared" si="7"/>
        <v>-716194</v>
      </c>
    </row>
    <row r="12" spans="1:36" ht="15">
      <c r="A12" s="5">
        <v>4</v>
      </c>
      <c r="B12" s="6" t="s">
        <v>24</v>
      </c>
      <c r="C12" s="85">
        <v>7</v>
      </c>
      <c r="D12" s="70">
        <f>AB12+AB18</f>
        <v>3510198</v>
      </c>
      <c r="E12" s="8"/>
      <c r="F12" s="8">
        <f t="shared" si="8"/>
        <v>3510198</v>
      </c>
      <c r="G12" s="207">
        <f t="shared" si="2"/>
        <v>20518049</v>
      </c>
      <c r="H12" s="529">
        <v>20518049</v>
      </c>
      <c r="I12" s="84">
        <f aca="true" t="shared" si="10" ref="I12:I37">J12</f>
        <v>6747640</v>
      </c>
      <c r="J12" s="529">
        <v>6747640</v>
      </c>
      <c r="K12" s="84">
        <f t="shared" si="9"/>
        <v>4677210</v>
      </c>
      <c r="L12" s="3"/>
      <c r="M12" s="529">
        <v>4677210</v>
      </c>
      <c r="N12" s="84">
        <f t="shared" si="3"/>
        <v>6164066</v>
      </c>
      <c r="O12" s="70"/>
      <c r="P12" s="3"/>
      <c r="Q12" s="529">
        <v>6164066</v>
      </c>
      <c r="R12" s="70"/>
      <c r="S12" s="93">
        <f>T12+U12</f>
        <v>5891232</v>
      </c>
      <c r="T12" s="531">
        <v>5891232</v>
      </c>
      <c r="U12" s="70"/>
      <c r="V12" s="84">
        <v>4398886</v>
      </c>
      <c r="W12" s="8"/>
      <c r="X12" s="8"/>
      <c r="Y12" s="35">
        <f t="shared" si="0"/>
        <v>48397083</v>
      </c>
      <c r="Z12" s="36">
        <f t="shared" si="1"/>
        <v>51907281</v>
      </c>
      <c r="AA12" s="143">
        <f>(D12)/Z12*100</f>
        <v>6.762438587372742</v>
      </c>
      <c r="AB12" s="46">
        <f t="shared" si="5"/>
        <v>2018268</v>
      </c>
      <c r="AC12" s="38">
        <f t="shared" si="6"/>
        <v>1254785</v>
      </c>
      <c r="AD12" s="38">
        <v>763483</v>
      </c>
      <c r="AF12" s="159">
        <v>2018268</v>
      </c>
      <c r="AG12" s="2">
        <v>3092531</v>
      </c>
      <c r="AI12" s="2">
        <v>7175844</v>
      </c>
      <c r="AJ12" s="23">
        <f t="shared" si="7"/>
        <v>1284612</v>
      </c>
    </row>
    <row r="13" spans="1:36" ht="14.25">
      <c r="A13" s="5">
        <v>5</v>
      </c>
      <c r="B13" s="6" t="s">
        <v>25</v>
      </c>
      <c r="C13" s="85"/>
      <c r="D13" s="70"/>
      <c r="E13" s="8"/>
      <c r="F13" s="8">
        <f t="shared" si="8"/>
        <v>0</v>
      </c>
      <c r="G13" s="10">
        <f t="shared" si="2"/>
        <v>0</v>
      </c>
      <c r="H13" s="529"/>
      <c r="I13" s="8">
        <f t="shared" si="10"/>
        <v>0</v>
      </c>
      <c r="J13" s="529"/>
      <c r="K13" s="8">
        <f t="shared" si="9"/>
        <v>0</v>
      </c>
      <c r="L13" s="3"/>
      <c r="M13" s="3"/>
      <c r="N13" s="8">
        <f t="shared" si="3"/>
        <v>0</v>
      </c>
      <c r="O13" s="70"/>
      <c r="P13" s="3"/>
      <c r="Q13" s="70"/>
      <c r="R13" s="70"/>
      <c r="S13" s="70">
        <f t="shared" si="4"/>
        <v>0</v>
      </c>
      <c r="T13" s="70">
        <v>0</v>
      </c>
      <c r="U13" s="70"/>
      <c r="V13" s="8"/>
      <c r="W13" s="8"/>
      <c r="X13" s="8"/>
      <c r="Y13" s="35">
        <f t="shared" si="0"/>
        <v>0</v>
      </c>
      <c r="Z13" s="36">
        <f t="shared" si="1"/>
        <v>0</v>
      </c>
      <c r="AA13" s="143"/>
      <c r="AB13" s="46">
        <f t="shared" si="5"/>
        <v>1659558</v>
      </c>
      <c r="AC13" s="38">
        <f t="shared" si="6"/>
        <v>1092233</v>
      </c>
      <c r="AD13" s="38">
        <v>567325</v>
      </c>
      <c r="AF13" s="100">
        <v>1659558</v>
      </c>
      <c r="AG13" s="2">
        <v>885595</v>
      </c>
      <c r="AJ13" s="23">
        <f t="shared" si="7"/>
        <v>0</v>
      </c>
    </row>
    <row r="14" spans="1:36" ht="15">
      <c r="A14" s="5">
        <v>6</v>
      </c>
      <c r="B14" s="6" t="s">
        <v>26</v>
      </c>
      <c r="C14" s="85">
        <v>5</v>
      </c>
      <c r="D14" s="70">
        <f>AB14</f>
        <v>4218468</v>
      </c>
      <c r="E14" s="8"/>
      <c r="F14" s="8">
        <f t="shared" si="8"/>
        <v>4218468</v>
      </c>
      <c r="G14" s="207">
        <f t="shared" si="2"/>
        <v>7117258</v>
      </c>
      <c r="H14" s="529">
        <v>7117258</v>
      </c>
      <c r="I14" s="84">
        <f t="shared" si="10"/>
        <v>16518850</v>
      </c>
      <c r="J14" s="529">
        <v>16518850</v>
      </c>
      <c r="K14" s="8">
        <f t="shared" si="9"/>
        <v>35773</v>
      </c>
      <c r="L14" s="529">
        <v>35773</v>
      </c>
      <c r="M14" s="3"/>
      <c r="N14" s="84">
        <f t="shared" si="3"/>
        <v>8690983</v>
      </c>
      <c r="O14" s="70"/>
      <c r="P14" s="529">
        <v>8690983</v>
      </c>
      <c r="Q14" s="70"/>
      <c r="R14" s="70"/>
      <c r="S14" s="70">
        <f t="shared" si="4"/>
        <v>0</v>
      </c>
      <c r="T14" s="70">
        <v>0</v>
      </c>
      <c r="U14" s="70"/>
      <c r="V14" s="84">
        <v>4960851</v>
      </c>
      <c r="W14" s="8">
        <v>988327</v>
      </c>
      <c r="X14" s="8"/>
      <c r="Y14" s="35">
        <f t="shared" si="0"/>
        <v>38312042</v>
      </c>
      <c r="Z14" s="36">
        <f t="shared" si="1"/>
        <v>42530510</v>
      </c>
      <c r="AA14" s="143">
        <f>(D14)/Z14*100</f>
        <v>9.918686608742759</v>
      </c>
      <c r="AB14" s="46">
        <f t="shared" si="5"/>
        <v>4218468</v>
      </c>
      <c r="AC14" s="38">
        <f t="shared" si="6"/>
        <v>2742010</v>
      </c>
      <c r="AD14" s="38">
        <v>1476458</v>
      </c>
      <c r="AF14" s="159">
        <v>4218468</v>
      </c>
      <c r="AG14" s="2">
        <v>2777067</v>
      </c>
      <c r="AI14" s="2">
        <v>6216728</v>
      </c>
      <c r="AJ14" s="23">
        <f t="shared" si="7"/>
        <v>6216728</v>
      </c>
    </row>
    <row r="15" spans="1:36" ht="15">
      <c r="A15" s="5">
        <v>7</v>
      </c>
      <c r="B15" s="6" t="s">
        <v>27</v>
      </c>
      <c r="C15" s="85">
        <v>3</v>
      </c>
      <c r="D15" s="70">
        <f>AB15</f>
        <v>3065505</v>
      </c>
      <c r="E15" s="8"/>
      <c r="F15" s="8">
        <f t="shared" si="8"/>
        <v>3065505</v>
      </c>
      <c r="G15" s="10">
        <f t="shared" si="2"/>
        <v>2337348</v>
      </c>
      <c r="H15" s="529">
        <v>2337348</v>
      </c>
      <c r="I15" s="84">
        <f t="shared" si="10"/>
        <v>4681275</v>
      </c>
      <c r="J15" s="529">
        <v>4681275</v>
      </c>
      <c r="K15" s="8">
        <f t="shared" si="9"/>
        <v>11092</v>
      </c>
      <c r="L15" s="529">
        <v>11092</v>
      </c>
      <c r="M15" s="3"/>
      <c r="N15" s="84">
        <f t="shared" si="3"/>
        <v>3882250</v>
      </c>
      <c r="O15" s="70"/>
      <c r="P15" s="529">
        <v>3882250</v>
      </c>
      <c r="Q15" s="70"/>
      <c r="R15" s="70"/>
      <c r="S15" s="70">
        <f t="shared" si="4"/>
        <v>0</v>
      </c>
      <c r="T15" s="70">
        <v>0</v>
      </c>
      <c r="U15" s="70"/>
      <c r="V15" s="8"/>
      <c r="W15" s="8">
        <v>1131142</v>
      </c>
      <c r="X15" s="8"/>
      <c r="Y15" s="35">
        <f t="shared" si="0"/>
        <v>12043107</v>
      </c>
      <c r="Z15" s="36">
        <f t="shared" si="1"/>
        <v>15108612</v>
      </c>
      <c r="AA15" s="143">
        <f>(D15)/Z15*100</f>
        <v>20.2897857195618</v>
      </c>
      <c r="AB15" s="46">
        <f t="shared" si="5"/>
        <v>3065505</v>
      </c>
      <c r="AC15" s="38">
        <f t="shared" si="6"/>
        <v>1486953</v>
      </c>
      <c r="AD15" s="38">
        <v>1578552</v>
      </c>
      <c r="AF15" s="159">
        <v>3065505</v>
      </c>
      <c r="AG15" s="2">
        <v>2286362</v>
      </c>
      <c r="AH15" s="23"/>
      <c r="AI15" s="23">
        <v>2721227</v>
      </c>
      <c r="AJ15" s="23">
        <f t="shared" si="7"/>
        <v>2721227</v>
      </c>
    </row>
    <row r="16" spans="1:36" ht="15">
      <c r="A16" s="5">
        <v>8</v>
      </c>
      <c r="B16" s="6" t="s">
        <v>81</v>
      </c>
      <c r="C16" s="85">
        <v>2</v>
      </c>
      <c r="D16" s="70">
        <f>AB16</f>
        <v>1481202</v>
      </c>
      <c r="E16" s="8"/>
      <c r="F16" s="8">
        <f t="shared" si="8"/>
        <v>1481202</v>
      </c>
      <c r="G16" s="207">
        <f t="shared" si="2"/>
        <v>2090603</v>
      </c>
      <c r="H16" s="529">
        <v>2090603</v>
      </c>
      <c r="I16" s="8">
        <f t="shared" si="10"/>
        <v>534203</v>
      </c>
      <c r="J16" s="529">
        <v>534203</v>
      </c>
      <c r="K16" s="8">
        <f t="shared" si="9"/>
        <v>742881</v>
      </c>
      <c r="L16" s="3"/>
      <c r="M16" s="529">
        <v>742881</v>
      </c>
      <c r="N16" s="8">
        <f t="shared" si="3"/>
        <v>513452</v>
      </c>
      <c r="O16" s="70"/>
      <c r="P16" s="529">
        <v>513452</v>
      </c>
      <c r="Q16" s="70"/>
      <c r="R16" s="70"/>
      <c r="S16" s="93">
        <f>T16+U16</f>
        <v>1465806</v>
      </c>
      <c r="T16" s="529">
        <v>1465806</v>
      </c>
      <c r="U16" s="70"/>
      <c r="V16" s="8"/>
      <c r="W16" s="8"/>
      <c r="X16" s="8"/>
      <c r="Y16" s="35">
        <f t="shared" si="0"/>
        <v>5346945</v>
      </c>
      <c r="Z16" s="36">
        <f t="shared" si="1"/>
        <v>6828147</v>
      </c>
      <c r="AA16" s="143">
        <f>(D16)/Z16*100</f>
        <v>21.69259097673205</v>
      </c>
      <c r="AB16" s="46">
        <f t="shared" si="5"/>
        <v>1481202</v>
      </c>
      <c r="AC16" s="38">
        <f t="shared" si="6"/>
        <v>583936</v>
      </c>
      <c r="AD16" s="38">
        <v>897266</v>
      </c>
      <c r="AF16" s="159">
        <v>1481202</v>
      </c>
      <c r="AG16" s="23">
        <v>1156410</v>
      </c>
      <c r="AH16" s="23"/>
      <c r="AI16" s="2">
        <v>1220916</v>
      </c>
      <c r="AJ16" s="23">
        <f t="shared" si="7"/>
        <v>-244890</v>
      </c>
    </row>
    <row r="17" spans="1:36" ht="15">
      <c r="A17" s="5">
        <v>9</v>
      </c>
      <c r="B17" s="6" t="s">
        <v>82</v>
      </c>
      <c r="C17" s="85">
        <v>3</v>
      </c>
      <c r="D17" s="70">
        <f>AB17</f>
        <v>1166603</v>
      </c>
      <c r="E17" s="8"/>
      <c r="F17" s="8">
        <f t="shared" si="8"/>
        <v>1166603</v>
      </c>
      <c r="G17" s="207">
        <f t="shared" si="2"/>
        <v>2532977</v>
      </c>
      <c r="H17" s="529">
        <v>2532977</v>
      </c>
      <c r="I17" s="8">
        <f t="shared" si="10"/>
        <v>687681</v>
      </c>
      <c r="J17" s="529">
        <v>687681</v>
      </c>
      <c r="K17" s="84">
        <f t="shared" si="9"/>
        <v>2014339</v>
      </c>
      <c r="L17" s="3"/>
      <c r="M17" s="529">
        <v>2014339</v>
      </c>
      <c r="N17" s="8">
        <f t="shared" si="3"/>
        <v>267487</v>
      </c>
      <c r="O17" s="70"/>
      <c r="P17" s="529">
        <v>267487</v>
      </c>
      <c r="Q17" s="70"/>
      <c r="R17" s="70"/>
      <c r="S17" s="70">
        <f t="shared" si="4"/>
        <v>0</v>
      </c>
      <c r="T17" s="70">
        <v>0</v>
      </c>
      <c r="U17" s="70"/>
      <c r="V17" s="8"/>
      <c r="W17" s="8"/>
      <c r="X17" s="8"/>
      <c r="Y17" s="35">
        <f t="shared" si="0"/>
        <v>5502484</v>
      </c>
      <c r="Z17" s="36">
        <f t="shared" si="1"/>
        <v>6669087</v>
      </c>
      <c r="AA17" s="143">
        <f>(D17)/Z17*100</f>
        <v>17.49269427734261</v>
      </c>
      <c r="AB17" s="46">
        <f t="shared" si="5"/>
        <v>1166603</v>
      </c>
      <c r="AC17" s="38">
        <f t="shared" si="6"/>
        <v>1056006</v>
      </c>
      <c r="AD17" s="38">
        <v>110597</v>
      </c>
      <c r="AF17" s="159">
        <v>1166603</v>
      </c>
      <c r="AG17" s="23">
        <v>898433</v>
      </c>
      <c r="AI17" s="23">
        <v>322331</v>
      </c>
      <c r="AJ17" s="23">
        <f t="shared" si="7"/>
        <v>322331</v>
      </c>
    </row>
    <row r="18" spans="1:36" ht="14.25">
      <c r="A18" s="5">
        <v>10</v>
      </c>
      <c r="B18" s="6" t="s">
        <v>30</v>
      </c>
      <c r="C18" s="85"/>
      <c r="D18" s="70"/>
      <c r="E18" s="8"/>
      <c r="F18" s="8">
        <f t="shared" si="8"/>
        <v>0</v>
      </c>
      <c r="G18" s="10">
        <f t="shared" si="2"/>
        <v>0</v>
      </c>
      <c r="H18" s="529"/>
      <c r="I18" s="8">
        <f t="shared" si="10"/>
        <v>0</v>
      </c>
      <c r="J18" s="529"/>
      <c r="K18" s="8">
        <f t="shared" si="9"/>
        <v>0</v>
      </c>
      <c r="L18" s="3"/>
      <c r="M18" s="3"/>
      <c r="N18" s="8">
        <f t="shared" si="3"/>
        <v>0</v>
      </c>
      <c r="O18" s="70"/>
      <c r="P18" s="3"/>
      <c r="Q18" s="70"/>
      <c r="R18" s="70"/>
      <c r="S18" s="70">
        <f t="shared" si="4"/>
        <v>0</v>
      </c>
      <c r="T18" s="70">
        <v>0</v>
      </c>
      <c r="U18" s="70"/>
      <c r="V18" s="8"/>
      <c r="W18" s="8"/>
      <c r="X18" s="8"/>
      <c r="Y18" s="35">
        <f t="shared" si="0"/>
        <v>0</v>
      </c>
      <c r="Z18" s="36">
        <f t="shared" si="1"/>
        <v>0</v>
      </c>
      <c r="AA18" s="143"/>
      <c r="AB18" s="46">
        <f t="shared" si="5"/>
        <v>1491930</v>
      </c>
      <c r="AC18" s="38">
        <f t="shared" si="6"/>
        <v>1073028</v>
      </c>
      <c r="AD18" s="38">
        <v>418902</v>
      </c>
      <c r="AF18" s="100">
        <v>1491930</v>
      </c>
      <c r="AG18" s="2">
        <v>1073097</v>
      </c>
      <c r="AJ18" s="23">
        <f t="shared" si="7"/>
        <v>0</v>
      </c>
    </row>
    <row r="19" spans="1:36" ht="15">
      <c r="A19" s="5">
        <v>11</v>
      </c>
      <c r="B19" s="6" t="s">
        <v>31</v>
      </c>
      <c r="C19" s="85">
        <v>2</v>
      </c>
      <c r="D19" s="70">
        <f>AB19</f>
        <v>6955768</v>
      </c>
      <c r="E19" s="8"/>
      <c r="F19" s="8">
        <f t="shared" si="8"/>
        <v>6955768</v>
      </c>
      <c r="G19" s="207">
        <f t="shared" si="2"/>
        <v>16564821</v>
      </c>
      <c r="H19" s="529">
        <v>16564821</v>
      </c>
      <c r="I19" s="8">
        <f t="shared" si="10"/>
        <v>6920902</v>
      </c>
      <c r="J19" s="529">
        <v>6920902</v>
      </c>
      <c r="K19" s="8">
        <f t="shared" si="9"/>
        <v>2201043</v>
      </c>
      <c r="L19" s="529">
        <v>2201043</v>
      </c>
      <c r="M19" s="3"/>
      <c r="N19" s="8">
        <f>R19</f>
        <v>6586224</v>
      </c>
      <c r="O19" s="70"/>
      <c r="P19" s="481"/>
      <c r="Q19" s="70"/>
      <c r="R19" s="529">
        <v>6586224</v>
      </c>
      <c r="S19" s="70">
        <f t="shared" si="4"/>
        <v>0</v>
      </c>
      <c r="T19" s="70">
        <v>0</v>
      </c>
      <c r="U19" s="70"/>
      <c r="V19" s="8"/>
      <c r="W19" s="8"/>
      <c r="X19" s="8"/>
      <c r="Y19" s="35">
        <f t="shared" si="0"/>
        <v>32272990</v>
      </c>
      <c r="Z19" s="36">
        <f t="shared" si="1"/>
        <v>39228758</v>
      </c>
      <c r="AA19" s="143">
        <f>(D19)/Z19*100</f>
        <v>17.73129804415424</v>
      </c>
      <c r="AB19" s="46">
        <f t="shared" si="5"/>
        <v>6955768</v>
      </c>
      <c r="AC19" s="38">
        <f t="shared" si="6"/>
        <v>5495201</v>
      </c>
      <c r="AD19" s="38">
        <v>1460567</v>
      </c>
      <c r="AF19" s="159">
        <v>6955768</v>
      </c>
      <c r="AG19" s="23">
        <v>3143061</v>
      </c>
      <c r="AI19" s="23">
        <v>6393570</v>
      </c>
      <c r="AJ19" s="23">
        <f t="shared" si="7"/>
        <v>6393570</v>
      </c>
    </row>
    <row r="20" spans="1:36" ht="15">
      <c r="A20" s="5">
        <v>12</v>
      </c>
      <c r="B20" s="6" t="s">
        <v>32</v>
      </c>
      <c r="C20" s="85">
        <v>2</v>
      </c>
      <c r="D20" s="70">
        <f>AB20</f>
        <v>7756318</v>
      </c>
      <c r="E20" s="8"/>
      <c r="F20" s="8">
        <f t="shared" si="8"/>
        <v>7756318</v>
      </c>
      <c r="G20" s="10">
        <f>H20</f>
        <v>3599838</v>
      </c>
      <c r="H20" s="529">
        <v>3599838</v>
      </c>
      <c r="I20" s="8">
        <f t="shared" si="10"/>
        <v>6489482</v>
      </c>
      <c r="J20" s="529">
        <v>6489482</v>
      </c>
      <c r="K20" s="8">
        <f t="shared" si="9"/>
        <v>4883</v>
      </c>
      <c r="L20" s="529">
        <v>4883</v>
      </c>
      <c r="M20" s="3"/>
      <c r="N20" s="84">
        <f aca="true" t="shared" si="11" ref="N20:N25">O20+P20+Q20</f>
        <v>8466741</v>
      </c>
      <c r="O20" s="70"/>
      <c r="P20" s="529">
        <v>8466741</v>
      </c>
      <c r="Q20" s="70"/>
      <c r="R20" s="3"/>
      <c r="S20" s="70">
        <f t="shared" si="4"/>
        <v>0</v>
      </c>
      <c r="T20" s="70">
        <v>0</v>
      </c>
      <c r="U20" s="70"/>
      <c r="V20" s="8"/>
      <c r="W20" s="8"/>
      <c r="X20" s="8"/>
      <c r="Y20" s="35">
        <f t="shared" si="0"/>
        <v>18560944</v>
      </c>
      <c r="Z20" s="36">
        <f t="shared" si="1"/>
        <v>26317262</v>
      </c>
      <c r="AA20" s="143">
        <f>(D20)/Z20*100</f>
        <v>29.47235924466611</v>
      </c>
      <c r="AB20" s="46">
        <f t="shared" si="5"/>
        <v>7756318</v>
      </c>
      <c r="AC20" s="38">
        <f t="shared" si="6"/>
        <v>4630970</v>
      </c>
      <c r="AD20" s="38">
        <v>3125348</v>
      </c>
      <c r="AF20" s="159">
        <v>7756318</v>
      </c>
      <c r="AG20" s="2">
        <v>3438993</v>
      </c>
      <c r="AI20" s="2">
        <v>3615118</v>
      </c>
      <c r="AJ20" s="23">
        <f t="shared" si="7"/>
        <v>3615118</v>
      </c>
    </row>
    <row r="21" spans="1:36" ht="15">
      <c r="A21" s="5">
        <v>13</v>
      </c>
      <c r="B21" s="6" t="s">
        <v>83</v>
      </c>
      <c r="C21" s="85">
        <v>4</v>
      </c>
      <c r="D21" s="70">
        <f>AB21+AB13</f>
        <v>4953138</v>
      </c>
      <c r="E21" s="8"/>
      <c r="F21" s="8">
        <f t="shared" si="8"/>
        <v>4953138</v>
      </c>
      <c r="G21" s="207">
        <f t="shared" si="2"/>
        <v>10209163</v>
      </c>
      <c r="H21" s="529">
        <v>10209163</v>
      </c>
      <c r="I21" s="8">
        <f t="shared" si="10"/>
        <v>4256579</v>
      </c>
      <c r="J21" s="529">
        <v>4256579</v>
      </c>
      <c r="K21" s="8">
        <f t="shared" si="9"/>
        <v>22694</v>
      </c>
      <c r="L21" s="529">
        <v>22694</v>
      </c>
      <c r="M21" s="3"/>
      <c r="N21" s="84">
        <f t="shared" si="11"/>
        <v>16295647</v>
      </c>
      <c r="O21" s="70"/>
      <c r="P21" s="529">
        <v>16295647</v>
      </c>
      <c r="Q21" s="70"/>
      <c r="R21" s="3"/>
      <c r="S21" s="93">
        <f>T21+U21</f>
        <v>8313704</v>
      </c>
      <c r="T21" s="30">
        <v>8313704</v>
      </c>
      <c r="U21" s="70"/>
      <c r="V21" s="8"/>
      <c r="W21" s="8">
        <v>1125094</v>
      </c>
      <c r="X21" s="8"/>
      <c r="Y21" s="35">
        <f t="shared" si="0"/>
        <v>40222881</v>
      </c>
      <c r="Z21" s="36">
        <f t="shared" si="1"/>
        <v>45176019</v>
      </c>
      <c r="AA21" s="143">
        <f>(D21)/Z21*100</f>
        <v>10.964086941790953</v>
      </c>
      <c r="AB21" s="46">
        <f t="shared" si="5"/>
        <v>3293580</v>
      </c>
      <c r="AC21" s="38">
        <f t="shared" si="6"/>
        <v>2150148</v>
      </c>
      <c r="AD21" s="38">
        <v>1143432</v>
      </c>
      <c r="AF21" s="159">
        <v>3293580</v>
      </c>
      <c r="AG21" s="2">
        <v>2094151</v>
      </c>
      <c r="AI21" s="2">
        <v>9032056</v>
      </c>
      <c r="AJ21" s="23">
        <f t="shared" si="7"/>
        <v>718352</v>
      </c>
    </row>
    <row r="22" spans="1:36" ht="15">
      <c r="A22" s="5">
        <v>14</v>
      </c>
      <c r="B22" s="6" t="s">
        <v>34</v>
      </c>
      <c r="C22" s="85">
        <v>4</v>
      </c>
      <c r="D22" s="70">
        <f>AB22</f>
        <v>6477014</v>
      </c>
      <c r="E22" s="8"/>
      <c r="F22" s="8">
        <f t="shared" si="8"/>
        <v>6477014</v>
      </c>
      <c r="G22" s="207">
        <f t="shared" si="2"/>
        <v>10226355</v>
      </c>
      <c r="H22" s="529">
        <v>10226355</v>
      </c>
      <c r="I22" s="84">
        <f t="shared" si="10"/>
        <v>14076683</v>
      </c>
      <c r="J22" s="529">
        <v>14076683</v>
      </c>
      <c r="K22" s="8">
        <f t="shared" si="9"/>
        <v>1312246</v>
      </c>
      <c r="L22" s="529">
        <v>1312246</v>
      </c>
      <c r="M22" s="3"/>
      <c r="N22" s="84">
        <f t="shared" si="11"/>
        <v>17421267</v>
      </c>
      <c r="O22" s="70"/>
      <c r="P22" s="529">
        <v>17421267</v>
      </c>
      <c r="Q22" s="70"/>
      <c r="R22" s="3"/>
      <c r="S22" s="70">
        <f t="shared" si="4"/>
        <v>0</v>
      </c>
      <c r="T22" s="70">
        <v>0</v>
      </c>
      <c r="U22" s="70"/>
      <c r="V22" s="8">
        <v>5770597</v>
      </c>
      <c r="W22" s="8"/>
      <c r="X22" s="8"/>
      <c r="Y22" s="35">
        <f t="shared" si="0"/>
        <v>48807148</v>
      </c>
      <c r="Z22" s="36">
        <f t="shared" si="1"/>
        <v>55284162</v>
      </c>
      <c r="AA22" s="143">
        <f>(D22)/Z22*100</f>
        <v>11.7158581512007</v>
      </c>
      <c r="AB22" s="46">
        <f t="shared" si="5"/>
        <v>6477014</v>
      </c>
      <c r="AC22" s="38">
        <f t="shared" si="6"/>
        <v>4111557</v>
      </c>
      <c r="AD22" s="38">
        <v>2365457</v>
      </c>
      <c r="AF22" s="159">
        <v>6477014</v>
      </c>
      <c r="AG22" s="23">
        <v>4213244</v>
      </c>
      <c r="AI22" s="2">
        <v>7772003</v>
      </c>
      <c r="AJ22" s="23">
        <f t="shared" si="7"/>
        <v>7772003</v>
      </c>
    </row>
    <row r="23" spans="1:36" ht="15">
      <c r="A23" s="5">
        <v>15</v>
      </c>
      <c r="B23" s="6" t="s">
        <v>35</v>
      </c>
      <c r="C23" s="85">
        <v>3</v>
      </c>
      <c r="D23" s="70">
        <f>AB23+AB24</f>
        <v>1657849</v>
      </c>
      <c r="E23" s="8"/>
      <c r="F23" s="8">
        <f t="shared" si="8"/>
        <v>1657849</v>
      </c>
      <c r="G23" s="207">
        <f t="shared" si="2"/>
        <v>2852276</v>
      </c>
      <c r="H23" s="529">
        <v>2852276</v>
      </c>
      <c r="I23" s="8">
        <f t="shared" si="10"/>
        <v>1045692</v>
      </c>
      <c r="J23" s="529">
        <v>1045692</v>
      </c>
      <c r="K23" s="84">
        <f t="shared" si="9"/>
        <v>2352414</v>
      </c>
      <c r="L23" s="3"/>
      <c r="M23" s="529">
        <v>2352414</v>
      </c>
      <c r="N23" s="8">
        <f t="shared" si="11"/>
        <v>328482</v>
      </c>
      <c r="O23" s="70"/>
      <c r="P23" s="529">
        <v>328482</v>
      </c>
      <c r="Q23" s="70"/>
      <c r="R23" s="3"/>
      <c r="S23" s="70">
        <f>T23+U23</f>
        <v>992057</v>
      </c>
      <c r="T23" s="529">
        <v>992057</v>
      </c>
      <c r="U23" s="70"/>
      <c r="V23" s="8"/>
      <c r="W23" s="8"/>
      <c r="X23" s="8"/>
      <c r="Y23" s="35">
        <f t="shared" si="0"/>
        <v>7570921</v>
      </c>
      <c r="Z23" s="36">
        <f t="shared" si="1"/>
        <v>9228770</v>
      </c>
      <c r="AA23" s="143">
        <f>(D23)/Z23*100</f>
        <v>17.96392151933573</v>
      </c>
      <c r="AB23" s="46">
        <f t="shared" si="5"/>
        <v>939723</v>
      </c>
      <c r="AC23" s="38">
        <f t="shared" si="6"/>
        <v>660414</v>
      </c>
      <c r="AD23" s="38">
        <v>279309</v>
      </c>
      <c r="AF23" s="159">
        <v>939723</v>
      </c>
      <c r="AG23" s="23">
        <v>383286</v>
      </c>
      <c r="AI23" s="2">
        <v>528185</v>
      </c>
      <c r="AJ23" s="23">
        <f t="shared" si="7"/>
        <v>-463872</v>
      </c>
    </row>
    <row r="24" spans="1:36" ht="14.25">
      <c r="A24" s="5">
        <v>16</v>
      </c>
      <c r="B24" s="6" t="s">
        <v>36</v>
      </c>
      <c r="C24" s="85"/>
      <c r="D24" s="70"/>
      <c r="E24" s="8"/>
      <c r="F24" s="8">
        <f>D24+E24</f>
        <v>0</v>
      </c>
      <c r="G24" s="10">
        <f t="shared" si="2"/>
        <v>0</v>
      </c>
      <c r="H24" s="529"/>
      <c r="I24" s="8">
        <f t="shared" si="10"/>
        <v>0</v>
      </c>
      <c r="J24" s="529"/>
      <c r="K24" s="8">
        <f t="shared" si="9"/>
        <v>0</v>
      </c>
      <c r="L24" s="3"/>
      <c r="M24" s="3"/>
      <c r="N24" s="8">
        <f t="shared" si="11"/>
        <v>0</v>
      </c>
      <c r="O24" s="70"/>
      <c r="P24" s="3"/>
      <c r="Q24" s="70"/>
      <c r="R24" s="3"/>
      <c r="S24" s="70">
        <f t="shared" si="4"/>
        <v>0</v>
      </c>
      <c r="T24" s="70">
        <v>0</v>
      </c>
      <c r="U24" s="70"/>
      <c r="V24" s="8"/>
      <c r="W24" s="8"/>
      <c r="X24" s="8"/>
      <c r="Y24" s="35">
        <f t="shared" si="0"/>
        <v>0</v>
      </c>
      <c r="Z24" s="36">
        <f t="shared" si="1"/>
        <v>0</v>
      </c>
      <c r="AA24" s="143"/>
      <c r="AB24" s="46">
        <f t="shared" si="5"/>
        <v>718126</v>
      </c>
      <c r="AC24" s="38">
        <f t="shared" si="6"/>
        <v>451641</v>
      </c>
      <c r="AD24" s="38">
        <v>266485</v>
      </c>
      <c r="AF24" s="100">
        <v>718126</v>
      </c>
      <c r="AG24" s="2">
        <v>474893</v>
      </c>
      <c r="AJ24" s="23">
        <f t="shared" si="7"/>
        <v>0</v>
      </c>
    </row>
    <row r="25" spans="1:36" ht="15">
      <c r="A25" s="5">
        <v>17</v>
      </c>
      <c r="B25" s="6" t="s">
        <v>37</v>
      </c>
      <c r="C25" s="85">
        <v>2</v>
      </c>
      <c r="D25" s="70">
        <f>AB25</f>
        <v>4467195</v>
      </c>
      <c r="E25" s="8"/>
      <c r="F25" s="8">
        <f t="shared" si="8"/>
        <v>4467195</v>
      </c>
      <c r="G25" s="207">
        <f t="shared" si="2"/>
        <v>7289389</v>
      </c>
      <c r="H25" s="529">
        <v>7289389</v>
      </c>
      <c r="I25" s="8">
        <f t="shared" si="10"/>
        <v>3168882</v>
      </c>
      <c r="J25" s="529">
        <v>3168882</v>
      </c>
      <c r="K25" s="8">
        <f t="shared" si="9"/>
        <v>2908410</v>
      </c>
      <c r="L25" s="3"/>
      <c r="M25" s="529">
        <v>2908410</v>
      </c>
      <c r="N25" s="8">
        <f t="shared" si="11"/>
        <v>1063004</v>
      </c>
      <c r="O25" s="70"/>
      <c r="P25" s="529">
        <v>1063004</v>
      </c>
      <c r="Q25" s="70"/>
      <c r="R25" s="3"/>
      <c r="S25" s="70">
        <f>T25+U25</f>
        <v>4134554</v>
      </c>
      <c r="T25" s="529">
        <v>4134554</v>
      </c>
      <c r="U25" s="70"/>
      <c r="V25" s="8"/>
      <c r="W25" s="8"/>
      <c r="X25" s="8"/>
      <c r="Y25" s="35">
        <f t="shared" si="0"/>
        <v>18564239</v>
      </c>
      <c r="Z25" s="36">
        <f t="shared" si="1"/>
        <v>23031434</v>
      </c>
      <c r="AA25" s="143">
        <f>(D25)/Z25*100</f>
        <v>19.396078420475252</v>
      </c>
      <c r="AB25" s="46">
        <f t="shared" si="5"/>
        <v>4467195</v>
      </c>
      <c r="AC25" s="38">
        <f t="shared" si="6"/>
        <v>2656246</v>
      </c>
      <c r="AD25" s="38">
        <v>1810949</v>
      </c>
      <c r="AF25" s="159">
        <v>4467195</v>
      </c>
      <c r="AG25" s="2">
        <v>2083541</v>
      </c>
      <c r="AI25" s="2">
        <v>2854476</v>
      </c>
      <c r="AJ25" s="23">
        <f t="shared" si="7"/>
        <v>-1280078</v>
      </c>
    </row>
    <row r="26" spans="1:36" ht="15">
      <c r="A26" s="5">
        <v>18</v>
      </c>
      <c r="B26" s="6" t="s">
        <v>38</v>
      </c>
      <c r="C26" s="85">
        <v>4</v>
      </c>
      <c r="D26" s="70">
        <f>AB26</f>
        <v>4460100</v>
      </c>
      <c r="E26" s="8"/>
      <c r="F26" s="8">
        <f t="shared" si="8"/>
        <v>4460100</v>
      </c>
      <c r="G26" s="207">
        <f t="shared" si="2"/>
        <v>7107014</v>
      </c>
      <c r="H26" s="529">
        <v>7107014</v>
      </c>
      <c r="I26" s="84">
        <f t="shared" si="10"/>
        <v>4503245</v>
      </c>
      <c r="J26" s="529">
        <v>4503245</v>
      </c>
      <c r="K26" s="8">
        <f t="shared" si="9"/>
        <v>1002025</v>
      </c>
      <c r="L26" s="529">
        <v>1002025</v>
      </c>
      <c r="M26" s="3"/>
      <c r="N26" s="84">
        <f>R26</f>
        <v>5845234</v>
      </c>
      <c r="O26" s="70"/>
      <c r="P26" s="3"/>
      <c r="Q26" s="70"/>
      <c r="R26" s="529">
        <v>5845234</v>
      </c>
      <c r="S26" s="70">
        <f t="shared" si="4"/>
        <v>0</v>
      </c>
      <c r="T26" s="70">
        <v>0</v>
      </c>
      <c r="U26" s="70"/>
      <c r="V26" s="8"/>
      <c r="W26" s="8"/>
      <c r="X26" s="8"/>
      <c r="Y26" s="35">
        <f t="shared" si="0"/>
        <v>18457518</v>
      </c>
      <c r="Z26" s="36">
        <f t="shared" si="1"/>
        <v>22917618</v>
      </c>
      <c r="AA26" s="143">
        <f>(D26)/Z26*100</f>
        <v>19.461446647727527</v>
      </c>
      <c r="AB26" s="46">
        <f t="shared" si="5"/>
        <v>4460100</v>
      </c>
      <c r="AC26" s="38">
        <f t="shared" si="6"/>
        <v>2718589</v>
      </c>
      <c r="AD26" s="38">
        <v>1741511</v>
      </c>
      <c r="AF26" s="159">
        <v>4460100</v>
      </c>
      <c r="AG26" s="2">
        <v>3411009</v>
      </c>
      <c r="AH26" s="23"/>
      <c r="AI26" s="2">
        <v>2974243</v>
      </c>
      <c r="AJ26" s="23">
        <f t="shared" si="7"/>
        <v>2974243</v>
      </c>
    </row>
    <row r="27" spans="1:36" ht="15">
      <c r="A27" s="5">
        <v>19</v>
      </c>
      <c r="B27" s="6" t="s">
        <v>39</v>
      </c>
      <c r="C27" s="85">
        <v>3</v>
      </c>
      <c r="D27" s="70">
        <f>AB27</f>
        <v>5720320</v>
      </c>
      <c r="E27" s="8"/>
      <c r="F27" s="8">
        <f t="shared" si="8"/>
        <v>5720320</v>
      </c>
      <c r="G27" s="207">
        <f t="shared" si="2"/>
        <v>14836741</v>
      </c>
      <c r="H27" s="529">
        <v>14836741</v>
      </c>
      <c r="I27" s="84">
        <f t="shared" si="10"/>
        <v>9270335</v>
      </c>
      <c r="J27" s="529">
        <v>9270335</v>
      </c>
      <c r="K27" s="8">
        <f t="shared" si="9"/>
        <v>3566660</v>
      </c>
      <c r="L27" s="529">
        <v>3566660</v>
      </c>
      <c r="M27" s="3"/>
      <c r="N27" s="8">
        <f aca="true" t="shared" si="12" ref="N27:N34">O27+P27+Q27</f>
        <v>5660460</v>
      </c>
      <c r="O27" s="70"/>
      <c r="P27" s="529">
        <v>5660460</v>
      </c>
      <c r="Q27" s="70"/>
      <c r="R27" s="70"/>
      <c r="S27" s="70">
        <f t="shared" si="4"/>
        <v>0</v>
      </c>
      <c r="T27" s="70">
        <v>0</v>
      </c>
      <c r="U27" s="70"/>
      <c r="V27" s="8"/>
      <c r="W27" s="8"/>
      <c r="X27" s="8"/>
      <c r="Y27" s="35">
        <f t="shared" si="0"/>
        <v>33334196</v>
      </c>
      <c r="Z27" s="36">
        <f t="shared" si="1"/>
        <v>39054516</v>
      </c>
      <c r="AA27" s="143">
        <f>(D27)/Z27*100</f>
        <v>14.64701290882724</v>
      </c>
      <c r="AB27" s="46">
        <f t="shared" si="5"/>
        <v>5720320</v>
      </c>
      <c r="AC27" s="38">
        <f t="shared" si="6"/>
        <v>3928464</v>
      </c>
      <c r="AD27" s="38">
        <v>1791856</v>
      </c>
      <c r="AF27" s="159">
        <v>5720320</v>
      </c>
      <c r="AG27" s="2">
        <v>3593805</v>
      </c>
      <c r="AH27" s="23"/>
      <c r="AI27" s="2">
        <v>5678598</v>
      </c>
      <c r="AJ27" s="23">
        <f t="shared" si="7"/>
        <v>5678598</v>
      </c>
    </row>
    <row r="28" spans="1:36" ht="15">
      <c r="A28" s="5">
        <v>20</v>
      </c>
      <c r="B28" s="6" t="s">
        <v>40</v>
      </c>
      <c r="C28" s="85">
        <v>4</v>
      </c>
      <c r="D28" s="70">
        <f>AB28</f>
        <v>7998780</v>
      </c>
      <c r="E28" s="8"/>
      <c r="F28" s="8">
        <f t="shared" si="8"/>
        <v>7998780</v>
      </c>
      <c r="G28" s="207">
        <f t="shared" si="2"/>
        <v>10101442</v>
      </c>
      <c r="H28" s="529">
        <v>10101442</v>
      </c>
      <c r="I28" s="84">
        <f t="shared" si="10"/>
        <v>10505044</v>
      </c>
      <c r="J28" s="529">
        <v>10505044</v>
      </c>
      <c r="K28" s="84">
        <f t="shared" si="9"/>
        <v>17859190</v>
      </c>
      <c r="L28" s="529">
        <v>17859190</v>
      </c>
      <c r="M28" s="3"/>
      <c r="N28" s="8">
        <f t="shared" si="12"/>
        <v>2486098</v>
      </c>
      <c r="O28" s="70"/>
      <c r="P28" s="529">
        <v>2486098</v>
      </c>
      <c r="Q28" s="70"/>
      <c r="R28" s="70"/>
      <c r="S28" s="70">
        <f t="shared" si="4"/>
        <v>0</v>
      </c>
      <c r="T28" s="70">
        <v>0</v>
      </c>
      <c r="U28" s="70"/>
      <c r="V28" s="8"/>
      <c r="W28" s="8"/>
      <c r="X28" s="8"/>
      <c r="Y28" s="35">
        <f t="shared" si="0"/>
        <v>40951774</v>
      </c>
      <c r="Z28" s="36">
        <f t="shared" si="1"/>
        <v>48950554</v>
      </c>
      <c r="AA28" s="143">
        <f>(D28)/Z28*100</f>
        <v>16.340530078576844</v>
      </c>
      <c r="AB28" s="46">
        <f t="shared" si="5"/>
        <v>7998780</v>
      </c>
      <c r="AC28" s="38">
        <f t="shared" si="6"/>
        <v>7118081</v>
      </c>
      <c r="AD28" s="38">
        <v>880699</v>
      </c>
      <c r="AF28" s="159">
        <v>7998780</v>
      </c>
      <c r="AG28" s="2">
        <v>4020802</v>
      </c>
      <c r="AI28" s="2">
        <v>5592238</v>
      </c>
      <c r="AJ28" s="23">
        <f t="shared" si="7"/>
        <v>5592238</v>
      </c>
    </row>
    <row r="29" spans="1:36" ht="14.25">
      <c r="A29" s="5">
        <v>21</v>
      </c>
      <c r="B29" s="6" t="s">
        <v>41</v>
      </c>
      <c r="C29" s="85"/>
      <c r="D29" s="70"/>
      <c r="E29" s="8"/>
      <c r="F29" s="8">
        <f t="shared" si="8"/>
        <v>0</v>
      </c>
      <c r="G29" s="10">
        <f t="shared" si="2"/>
        <v>0</v>
      </c>
      <c r="H29" s="529"/>
      <c r="I29" s="8">
        <f t="shared" si="10"/>
        <v>0</v>
      </c>
      <c r="J29" s="529"/>
      <c r="K29" s="8">
        <f t="shared" si="9"/>
        <v>0</v>
      </c>
      <c r="L29" s="3"/>
      <c r="M29" s="3"/>
      <c r="N29" s="8">
        <f t="shared" si="12"/>
        <v>0</v>
      </c>
      <c r="O29" s="70"/>
      <c r="P29" s="3"/>
      <c r="Q29" s="70"/>
      <c r="R29" s="70"/>
      <c r="S29" s="70">
        <f t="shared" si="4"/>
        <v>0</v>
      </c>
      <c r="T29" s="70">
        <v>0</v>
      </c>
      <c r="U29" s="70"/>
      <c r="V29" s="8"/>
      <c r="W29" s="8"/>
      <c r="X29" s="8"/>
      <c r="Y29" s="35">
        <f t="shared" si="0"/>
        <v>0</v>
      </c>
      <c r="Z29" s="36">
        <f t="shared" si="1"/>
        <v>0</v>
      </c>
      <c r="AA29" s="143"/>
      <c r="AB29" s="46">
        <f t="shared" si="5"/>
        <v>1173530</v>
      </c>
      <c r="AC29" s="38">
        <f t="shared" si="6"/>
        <v>666250</v>
      </c>
      <c r="AD29" s="38">
        <v>507280</v>
      </c>
      <c r="AF29" s="100">
        <v>1173530</v>
      </c>
      <c r="AG29" s="2">
        <v>943333</v>
      </c>
      <c r="AJ29" s="23">
        <f t="shared" si="7"/>
        <v>0</v>
      </c>
    </row>
    <row r="30" spans="1:36" ht="15">
      <c r="A30" s="5">
        <v>22</v>
      </c>
      <c r="B30" s="6" t="s">
        <v>84</v>
      </c>
      <c r="C30" s="85">
        <v>3</v>
      </c>
      <c r="D30" s="70">
        <f>AB30</f>
        <v>9910844</v>
      </c>
      <c r="E30" s="8"/>
      <c r="F30" s="8">
        <f t="shared" si="8"/>
        <v>9910844</v>
      </c>
      <c r="G30" s="207">
        <f>H30</f>
        <v>15433113</v>
      </c>
      <c r="H30" s="529">
        <v>15433113</v>
      </c>
      <c r="I30" s="84">
        <f t="shared" si="10"/>
        <v>14400071</v>
      </c>
      <c r="J30" s="529">
        <v>14400071</v>
      </c>
      <c r="K30" s="8">
        <f t="shared" si="9"/>
        <v>4767195</v>
      </c>
      <c r="L30" s="529">
        <v>4767195</v>
      </c>
      <c r="M30" s="3"/>
      <c r="N30" s="8">
        <f t="shared" si="12"/>
        <v>7594778</v>
      </c>
      <c r="O30" s="70"/>
      <c r="P30" s="529">
        <v>7594778</v>
      </c>
      <c r="Q30" s="70"/>
      <c r="R30" s="70"/>
      <c r="S30" s="70">
        <f t="shared" si="4"/>
        <v>0</v>
      </c>
      <c r="T30" s="70">
        <v>0</v>
      </c>
      <c r="U30" s="70"/>
      <c r="V30" s="8">
        <v>7541316</v>
      </c>
      <c r="W30" s="8"/>
      <c r="X30" s="8"/>
      <c r="Y30" s="35">
        <f t="shared" si="0"/>
        <v>49736473</v>
      </c>
      <c r="Z30" s="36">
        <f t="shared" si="1"/>
        <v>59647317</v>
      </c>
      <c r="AA30" s="143">
        <f aca="true" t="shared" si="13" ref="AA30:AA38">(D30)/Z30*100</f>
        <v>16.615741492613992</v>
      </c>
      <c r="AB30" s="46">
        <f t="shared" si="5"/>
        <v>9910844</v>
      </c>
      <c r="AC30" s="38">
        <f t="shared" si="6"/>
        <v>7078997</v>
      </c>
      <c r="AD30" s="38">
        <v>2831847</v>
      </c>
      <c r="AF30" s="159">
        <v>9910844</v>
      </c>
      <c r="AG30" s="2">
        <v>7180690</v>
      </c>
      <c r="AI30" s="2">
        <v>9442177</v>
      </c>
      <c r="AJ30" s="23">
        <f t="shared" si="7"/>
        <v>9442177</v>
      </c>
    </row>
    <row r="31" spans="1:36" ht="15">
      <c r="A31" s="5">
        <v>23</v>
      </c>
      <c r="B31" s="6" t="s">
        <v>85</v>
      </c>
      <c r="C31" s="85">
        <v>4</v>
      </c>
      <c r="D31" s="70">
        <f>AB31+AB29</f>
        <v>4514419</v>
      </c>
      <c r="E31" s="8"/>
      <c r="F31" s="8">
        <f t="shared" si="8"/>
        <v>4514419</v>
      </c>
      <c r="G31" s="207">
        <f t="shared" si="2"/>
        <v>6484305</v>
      </c>
      <c r="H31" s="529">
        <v>6484305</v>
      </c>
      <c r="I31" s="84">
        <f t="shared" si="10"/>
        <v>9261589</v>
      </c>
      <c r="J31" s="529">
        <v>9261589</v>
      </c>
      <c r="K31" s="8">
        <f t="shared" si="9"/>
        <v>109150</v>
      </c>
      <c r="L31" s="529">
        <v>109150</v>
      </c>
      <c r="M31" s="3"/>
      <c r="N31" s="8">
        <f t="shared" si="12"/>
        <v>11014960</v>
      </c>
      <c r="O31" s="70"/>
      <c r="P31" s="529">
        <v>11014960</v>
      </c>
      <c r="Q31" s="70"/>
      <c r="R31" s="70"/>
      <c r="S31" s="70">
        <f>T31+U31</f>
        <v>0</v>
      </c>
      <c r="T31" s="70">
        <v>0</v>
      </c>
      <c r="U31" s="70"/>
      <c r="V31" s="84">
        <v>5269519</v>
      </c>
      <c r="W31" s="8"/>
      <c r="X31" s="8"/>
      <c r="Y31" s="35">
        <f t="shared" si="0"/>
        <v>32139523</v>
      </c>
      <c r="Z31" s="36">
        <f t="shared" si="1"/>
        <v>36653942</v>
      </c>
      <c r="AA31" s="143">
        <f t="shared" si="13"/>
        <v>12.31632603118104</v>
      </c>
      <c r="AB31" s="46">
        <f t="shared" si="5"/>
        <v>3340889</v>
      </c>
      <c r="AC31" s="38">
        <f t="shared" si="6"/>
        <v>2537077</v>
      </c>
      <c r="AD31" s="38">
        <v>803812</v>
      </c>
      <c r="AF31" s="159">
        <v>3340889</v>
      </c>
      <c r="AG31" s="23">
        <v>2032639</v>
      </c>
      <c r="AI31" s="2">
        <v>6699506</v>
      </c>
      <c r="AJ31" s="23">
        <f t="shared" si="7"/>
        <v>6699506</v>
      </c>
    </row>
    <row r="32" spans="1:36" ht="15">
      <c r="A32" s="5">
        <v>24</v>
      </c>
      <c r="B32" s="6" t="s">
        <v>44</v>
      </c>
      <c r="C32" s="85">
        <v>5</v>
      </c>
      <c r="D32" s="70">
        <f>AB32+AB9</f>
        <v>2893021</v>
      </c>
      <c r="E32" s="8"/>
      <c r="F32" s="8">
        <f t="shared" si="8"/>
        <v>2893021</v>
      </c>
      <c r="G32" s="207">
        <f t="shared" si="2"/>
        <v>9575630</v>
      </c>
      <c r="H32" s="529">
        <v>9575630</v>
      </c>
      <c r="I32" s="84">
        <f t="shared" si="10"/>
        <v>11851390</v>
      </c>
      <c r="J32" s="529">
        <v>11851390</v>
      </c>
      <c r="K32" s="84">
        <f t="shared" si="9"/>
        <v>3082883</v>
      </c>
      <c r="L32" s="3"/>
      <c r="M32" s="529">
        <v>3082883</v>
      </c>
      <c r="N32" s="8">
        <f t="shared" si="12"/>
        <v>2682852</v>
      </c>
      <c r="O32" s="70"/>
      <c r="P32" s="529">
        <v>2682852</v>
      </c>
      <c r="Q32" s="70"/>
      <c r="R32" s="70"/>
      <c r="S32" s="93">
        <f>T32+U32</f>
        <v>7263266</v>
      </c>
      <c r="T32" s="529">
        <v>7263266</v>
      </c>
      <c r="U32" s="70"/>
      <c r="V32" s="84"/>
      <c r="W32" s="8"/>
      <c r="X32" s="8"/>
      <c r="Y32" s="35">
        <f t="shared" si="0"/>
        <v>34456021</v>
      </c>
      <c r="Z32" s="36">
        <f t="shared" si="1"/>
        <v>37349042</v>
      </c>
      <c r="AA32" s="143">
        <f t="shared" si="13"/>
        <v>7.74590416535985</v>
      </c>
      <c r="AB32" s="46">
        <f t="shared" si="5"/>
        <v>2680828</v>
      </c>
      <c r="AC32" s="38">
        <f t="shared" si="6"/>
        <v>1358319</v>
      </c>
      <c r="AD32" s="38">
        <v>1322509</v>
      </c>
      <c r="AF32" s="159">
        <v>2680828</v>
      </c>
      <c r="AG32" s="23">
        <v>2055457</v>
      </c>
      <c r="AI32" s="2">
        <v>5199733</v>
      </c>
      <c r="AJ32" s="23">
        <f t="shared" si="7"/>
        <v>-2063533</v>
      </c>
    </row>
    <row r="33" spans="1:36" ht="15">
      <c r="A33" s="5">
        <v>25</v>
      </c>
      <c r="B33" s="6" t="s">
        <v>45</v>
      </c>
      <c r="C33" s="85">
        <v>4</v>
      </c>
      <c r="D33" s="70">
        <f>AB33</f>
        <v>2259186</v>
      </c>
      <c r="E33" s="8"/>
      <c r="F33" s="8">
        <f t="shared" si="8"/>
        <v>2259186</v>
      </c>
      <c r="G33" s="207">
        <f t="shared" si="2"/>
        <v>3751235</v>
      </c>
      <c r="H33" s="529">
        <v>3751235</v>
      </c>
      <c r="I33" s="84">
        <f t="shared" si="10"/>
        <v>4365823</v>
      </c>
      <c r="J33" s="529">
        <v>4365823</v>
      </c>
      <c r="K33" s="8">
        <f t="shared" si="9"/>
        <v>2179944</v>
      </c>
      <c r="L33" s="529">
        <v>2179944</v>
      </c>
      <c r="M33" s="8"/>
      <c r="N33" s="8">
        <f t="shared" si="12"/>
        <v>1316958</v>
      </c>
      <c r="O33" s="70"/>
      <c r="P33" s="529">
        <v>1316958</v>
      </c>
      <c r="Q33" s="70"/>
      <c r="R33" s="70"/>
      <c r="S33" s="93">
        <f>T33+U33</f>
        <v>3692970</v>
      </c>
      <c r="T33" s="529">
        <v>3692970</v>
      </c>
      <c r="U33" s="70"/>
      <c r="V33" s="8"/>
      <c r="W33" s="8"/>
      <c r="X33" s="8"/>
      <c r="Y33" s="35">
        <f t="shared" si="0"/>
        <v>15306930</v>
      </c>
      <c r="Z33" s="36">
        <f t="shared" si="1"/>
        <v>17566116</v>
      </c>
      <c r="AA33" s="143">
        <f t="shared" si="13"/>
        <v>12.861044524583578</v>
      </c>
      <c r="AB33" s="46">
        <f t="shared" si="5"/>
        <v>2259186</v>
      </c>
      <c r="AC33" s="38">
        <f t="shared" si="6"/>
        <v>2259186</v>
      </c>
      <c r="AD33" s="38">
        <v>0</v>
      </c>
      <c r="AF33" s="159">
        <v>2259186</v>
      </c>
      <c r="AG33" s="23">
        <v>1755860</v>
      </c>
      <c r="AI33" s="2">
        <v>3788404</v>
      </c>
      <c r="AJ33" s="23">
        <f t="shared" si="7"/>
        <v>95434</v>
      </c>
    </row>
    <row r="34" spans="1:36" ht="15">
      <c r="A34" s="5">
        <v>26</v>
      </c>
      <c r="B34" s="6" t="s">
        <v>46</v>
      </c>
      <c r="C34" s="85">
        <v>4</v>
      </c>
      <c r="D34" s="70">
        <f>AB34</f>
        <v>1504017</v>
      </c>
      <c r="E34" s="8"/>
      <c r="F34" s="8">
        <f t="shared" si="8"/>
        <v>1504017</v>
      </c>
      <c r="G34" s="207">
        <f t="shared" si="2"/>
        <v>3828097</v>
      </c>
      <c r="H34" s="529">
        <v>3828097</v>
      </c>
      <c r="I34" s="84">
        <f t="shared" si="10"/>
        <v>2160677</v>
      </c>
      <c r="J34" s="529">
        <v>2160677</v>
      </c>
      <c r="K34" s="84">
        <f t="shared" si="9"/>
        <v>4109610</v>
      </c>
      <c r="L34" s="529">
        <v>4109610</v>
      </c>
      <c r="M34" s="8"/>
      <c r="N34" s="8">
        <f t="shared" si="12"/>
        <v>0</v>
      </c>
      <c r="O34" s="70"/>
      <c r="P34" s="70"/>
      <c r="Q34" s="70"/>
      <c r="R34" s="70"/>
      <c r="S34" s="70">
        <f t="shared" si="4"/>
        <v>0</v>
      </c>
      <c r="T34" s="70"/>
      <c r="U34" s="70"/>
      <c r="V34" s="8"/>
      <c r="W34" s="8"/>
      <c r="X34" s="8"/>
      <c r="Y34" s="35">
        <f t="shared" si="0"/>
        <v>10098384</v>
      </c>
      <c r="Z34" s="36">
        <f t="shared" si="1"/>
        <v>11602401</v>
      </c>
      <c r="AA34" s="143">
        <f t="shared" si="13"/>
        <v>12.962980679602436</v>
      </c>
      <c r="AB34" s="46">
        <f t="shared" si="5"/>
        <v>1504017</v>
      </c>
      <c r="AC34" s="38">
        <f t="shared" si="6"/>
        <v>1460562</v>
      </c>
      <c r="AD34" s="38">
        <v>43455</v>
      </c>
      <c r="AF34" s="159">
        <v>1504017</v>
      </c>
      <c r="AG34" s="2">
        <v>1189158</v>
      </c>
      <c r="AI34" s="2">
        <v>1159847</v>
      </c>
      <c r="AJ34" s="23">
        <f t="shared" si="7"/>
        <v>1159847</v>
      </c>
    </row>
    <row r="35" spans="1:36" ht="15">
      <c r="A35" s="5"/>
      <c r="B35" s="7" t="s">
        <v>47</v>
      </c>
      <c r="C35" s="5">
        <v>4</v>
      </c>
      <c r="D35" s="70">
        <f aca="true" t="shared" si="14" ref="D35:Z35">SUM(D9:D34)</f>
        <v>95472827</v>
      </c>
      <c r="E35" s="8">
        <f t="shared" si="14"/>
        <v>0</v>
      </c>
      <c r="F35" s="8">
        <f t="shared" si="14"/>
        <v>95472827</v>
      </c>
      <c r="G35" s="84">
        <f t="shared" si="14"/>
        <v>179553927</v>
      </c>
      <c r="H35" s="8">
        <f>SUM(H9:H34)</f>
        <v>179553927</v>
      </c>
      <c r="I35" s="84">
        <f>SUM(I9:I34)</f>
        <v>139866061</v>
      </c>
      <c r="J35" s="94">
        <f t="shared" si="14"/>
        <v>139866061</v>
      </c>
      <c r="K35" s="8">
        <f t="shared" si="14"/>
        <v>58407042</v>
      </c>
      <c r="L35" s="8">
        <f t="shared" si="14"/>
        <v>39039933</v>
      </c>
      <c r="M35" s="8">
        <f>SUM(M9:M34)</f>
        <v>19367109</v>
      </c>
      <c r="N35" s="84">
        <f t="shared" si="14"/>
        <v>118738927</v>
      </c>
      <c r="O35" s="70">
        <f t="shared" si="14"/>
        <v>0</v>
      </c>
      <c r="P35" s="530">
        <f t="shared" si="14"/>
        <v>100143403</v>
      </c>
      <c r="Q35" s="70">
        <f t="shared" si="14"/>
        <v>6164066</v>
      </c>
      <c r="R35" s="70">
        <f>SUM(R9:R34)</f>
        <v>12431458</v>
      </c>
      <c r="S35" s="70">
        <f t="shared" si="14"/>
        <v>34349999</v>
      </c>
      <c r="T35" s="70">
        <f t="shared" si="14"/>
        <v>34349999</v>
      </c>
      <c r="U35" s="70">
        <f>SUM(U9:U34)</f>
        <v>0</v>
      </c>
      <c r="V35" s="8">
        <f t="shared" si="14"/>
        <v>32355900</v>
      </c>
      <c r="W35" s="8">
        <f t="shared" si="14"/>
        <v>3244563</v>
      </c>
      <c r="X35" s="8"/>
      <c r="Y35" s="8">
        <f t="shared" si="14"/>
        <v>566516419</v>
      </c>
      <c r="Z35" s="8">
        <f t="shared" si="14"/>
        <v>661989246</v>
      </c>
      <c r="AA35" s="143">
        <f t="shared" si="13"/>
        <v>14.422111473393933</v>
      </c>
      <c r="AB35" s="8">
        <f aca="true" t="shared" si="15" ref="AB35:AG35">SUM(AB9:AB34)</f>
        <v>95472827</v>
      </c>
      <c r="AC35" s="334">
        <f t="shared" si="15"/>
        <v>63779830</v>
      </c>
      <c r="AD35" s="8">
        <f t="shared" si="15"/>
        <v>31692997</v>
      </c>
      <c r="AE35" s="8">
        <f t="shared" si="15"/>
        <v>0</v>
      </c>
      <c r="AF35" s="8">
        <f t="shared" si="15"/>
        <v>95472827</v>
      </c>
      <c r="AG35" s="32">
        <f t="shared" si="15"/>
        <v>59376593</v>
      </c>
      <c r="AJ35" s="23"/>
    </row>
    <row r="36" spans="1:36" ht="14.25">
      <c r="A36" s="4">
        <v>27</v>
      </c>
      <c r="B36" s="3" t="s">
        <v>48</v>
      </c>
      <c r="C36" s="4"/>
      <c r="D36" s="70"/>
      <c r="E36" s="70">
        <v>2519080</v>
      </c>
      <c r="F36" s="8">
        <f t="shared" si="8"/>
        <v>2519080</v>
      </c>
      <c r="G36" s="10">
        <f t="shared" si="2"/>
        <v>9725980</v>
      </c>
      <c r="H36" s="529">
        <v>9725980</v>
      </c>
      <c r="I36" s="8">
        <f t="shared" si="10"/>
        <v>8845576</v>
      </c>
      <c r="J36" s="529">
        <v>8845576</v>
      </c>
      <c r="K36" s="8">
        <f>L36+M36</f>
        <v>3133898</v>
      </c>
      <c r="L36" s="529">
        <v>3133898</v>
      </c>
      <c r="M36" s="8"/>
      <c r="N36" s="8">
        <f>O36+P36+Q36</f>
        <v>5251411</v>
      </c>
      <c r="O36" s="70"/>
      <c r="P36" s="529">
        <v>5251411</v>
      </c>
      <c r="Q36" s="70"/>
      <c r="R36" s="70"/>
      <c r="S36" s="70">
        <f t="shared" si="4"/>
        <v>0</v>
      </c>
      <c r="T36" s="70"/>
      <c r="U36" s="70"/>
      <c r="V36" s="8"/>
      <c r="W36" s="8"/>
      <c r="X36" s="8"/>
      <c r="Y36" s="35">
        <f>G36+I36+K36+N36+S36+V36+W36+X36</f>
        <v>26956865</v>
      </c>
      <c r="Z36" s="36">
        <f>Y36+F36</f>
        <v>29475945</v>
      </c>
      <c r="AA36" s="143">
        <f t="shared" si="13"/>
        <v>0</v>
      </c>
      <c r="AE36" s="23">
        <f>E36</f>
        <v>2519080</v>
      </c>
      <c r="AF36" s="159">
        <f>AE36+Y36</f>
        <v>29475945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0"/>
      <c r="E37" s="70">
        <v>1091980</v>
      </c>
      <c r="F37" s="8">
        <f t="shared" si="8"/>
        <v>1091980</v>
      </c>
      <c r="G37" s="10">
        <f t="shared" si="2"/>
        <v>4107494</v>
      </c>
      <c r="H37" s="529">
        <v>4107494</v>
      </c>
      <c r="I37" s="8">
        <f t="shared" si="10"/>
        <v>6831544</v>
      </c>
      <c r="J37" s="529">
        <v>6831544</v>
      </c>
      <c r="K37" s="8">
        <f>L37+M37</f>
        <v>1704239</v>
      </c>
      <c r="L37" s="529">
        <v>1704239</v>
      </c>
      <c r="M37" s="8"/>
      <c r="N37" s="8">
        <f>O37+P37+Q37</f>
        <v>3237854</v>
      </c>
      <c r="O37" s="70"/>
      <c r="P37" s="529">
        <v>3237854</v>
      </c>
      <c r="Q37" s="70"/>
      <c r="R37" s="70"/>
      <c r="S37" s="70">
        <f t="shared" si="4"/>
        <v>0</v>
      </c>
      <c r="T37" s="70"/>
      <c r="U37" s="70"/>
      <c r="V37" s="70"/>
      <c r="W37" s="70"/>
      <c r="X37" s="70">
        <v>2825418</v>
      </c>
      <c r="Y37" s="35">
        <f>G37+I37+K37+N37+S37+V37+W37+X37</f>
        <v>18706549</v>
      </c>
      <c r="Z37" s="36">
        <f>Y37+F37</f>
        <v>19798529</v>
      </c>
      <c r="AA37" s="143">
        <f t="shared" si="13"/>
        <v>0</v>
      </c>
      <c r="AC37" s="158"/>
      <c r="AD37" s="158"/>
      <c r="AE37" s="23">
        <f>E37</f>
        <v>1091980</v>
      </c>
      <c r="AF37" s="159">
        <f>AE37+Y37</f>
        <v>19798529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0">
        <f aca="true" t="shared" si="16" ref="D38:W38">SUM(D35:D37)</f>
        <v>95472827</v>
      </c>
      <c r="E38" s="70">
        <f t="shared" si="16"/>
        <v>3611060</v>
      </c>
      <c r="F38" s="8">
        <f t="shared" si="16"/>
        <v>99083887</v>
      </c>
      <c r="G38" s="70">
        <f>SUM(G35:G37)</f>
        <v>193387401</v>
      </c>
      <c r="H38" s="70">
        <f>SUM(H35:H37)</f>
        <v>193387401</v>
      </c>
      <c r="I38" s="70">
        <f>SUM(I35:I37)</f>
        <v>155543181</v>
      </c>
      <c r="J38" s="70">
        <f t="shared" si="16"/>
        <v>155543181</v>
      </c>
      <c r="K38" s="8">
        <f t="shared" si="9"/>
        <v>63245179</v>
      </c>
      <c r="L38" s="70">
        <f>SUM(L35:L37)</f>
        <v>43878070</v>
      </c>
      <c r="M38" s="70">
        <f>SUM(M35:M37)</f>
        <v>19367109</v>
      </c>
      <c r="N38" s="70">
        <f t="shared" si="16"/>
        <v>127228192</v>
      </c>
      <c r="O38" s="70">
        <f t="shared" si="16"/>
        <v>0</v>
      </c>
      <c r="P38" s="530">
        <f t="shared" si="16"/>
        <v>108632668</v>
      </c>
      <c r="Q38" s="70">
        <f t="shared" si="16"/>
        <v>6164066</v>
      </c>
      <c r="R38" s="70">
        <f>SUM(R35:R37)</f>
        <v>12431458</v>
      </c>
      <c r="S38" s="70">
        <f t="shared" si="16"/>
        <v>34349999</v>
      </c>
      <c r="T38" s="70">
        <f t="shared" si="16"/>
        <v>34349999</v>
      </c>
      <c r="U38" s="70">
        <f>SUM(U35:U37)</f>
        <v>0</v>
      </c>
      <c r="V38" s="70">
        <f t="shared" si="16"/>
        <v>32355900</v>
      </c>
      <c r="W38" s="70">
        <f t="shared" si="16"/>
        <v>3244563</v>
      </c>
      <c r="X38" s="70">
        <f>SUM(X35:X37)</f>
        <v>2825418</v>
      </c>
      <c r="Y38" s="8">
        <f>SUM(Y35:Y37)</f>
        <v>612179833</v>
      </c>
      <c r="Z38" s="8">
        <f>SUM(Z35:Z37)</f>
        <v>711263720</v>
      </c>
      <c r="AA38" s="143">
        <f t="shared" si="13"/>
        <v>13.422985640262938</v>
      </c>
      <c r="AB38" s="23"/>
      <c r="AC38" s="23"/>
      <c r="AE38" s="8">
        <f>SUM(AE35:AE37)</f>
        <v>3611060</v>
      </c>
      <c r="AF38" s="8">
        <f>SUM(AF35:AF37)</f>
        <v>144747301</v>
      </c>
      <c r="AG38" s="23"/>
      <c r="AI38" s="2">
        <f>SUM(AI10:AI37)</f>
        <v>110806333</v>
      </c>
    </row>
    <row r="39" spans="1:35" ht="15">
      <c r="A39" s="107" t="s">
        <v>51</v>
      </c>
      <c r="B39" s="108"/>
      <c r="C39" s="108"/>
      <c r="D39" s="139">
        <f>D38/Z38*100</f>
        <v>13.422985640262938</v>
      </c>
      <c r="E39" s="139">
        <f>E38/Z38*100</f>
        <v>0.5076963576885378</v>
      </c>
      <c r="F39" s="146">
        <f>F38/Z38*100</f>
        <v>13.930681997951478</v>
      </c>
      <c r="G39" s="139">
        <f>G38/Z38*100</f>
        <v>27.18926827871946</v>
      </c>
      <c r="H39" s="139">
        <f>H38/Z38</f>
        <v>0.2718926827871946</v>
      </c>
      <c r="I39" s="139">
        <f>I38/Z38*100</f>
        <v>21.868566697033277</v>
      </c>
      <c r="J39" s="139">
        <f>J38/Z38*100</f>
        <v>21.868566697033277</v>
      </c>
      <c r="K39" s="139">
        <f>K38/Z38*100</f>
        <v>8.891945029896927</v>
      </c>
      <c r="L39" s="139">
        <f>L38/Z38*100</f>
        <v>6.169029681423931</v>
      </c>
      <c r="M39" s="139">
        <f>M38/Z38*100</f>
        <v>2.7229153484729967</v>
      </c>
      <c r="N39" s="139">
        <f>N38/Z38*100</f>
        <v>17.88762570372632</v>
      </c>
      <c r="O39" s="139">
        <f>O38/Z38</f>
        <v>0</v>
      </c>
      <c r="P39" s="139">
        <f>P38/Z38</f>
        <v>0.1527319121520777</v>
      </c>
      <c r="Q39" s="139">
        <f>Q38/Z38</f>
        <v>0.008666357957917493</v>
      </c>
      <c r="R39" s="139">
        <f>R38/Z38*100</f>
        <v>1.747798692726799</v>
      </c>
      <c r="S39" s="139">
        <f>S38/Z38*100</f>
        <v>4.829432183044567</v>
      </c>
      <c r="T39" s="139"/>
      <c r="U39" s="139">
        <f>U38/Z38</f>
        <v>0</v>
      </c>
      <c r="V39" s="139">
        <f>V38/Z38*100</f>
        <v>4.549072178178862</v>
      </c>
      <c r="W39" s="139">
        <f>W38/Z38*100</f>
        <v>0.4561687752047862</v>
      </c>
      <c r="X39" s="139">
        <f>X38/Z38*100</f>
        <v>0.3972391562443252</v>
      </c>
      <c r="Y39" s="139">
        <f>Y38/Z38*100</f>
        <v>86.06931800204852</v>
      </c>
      <c r="Z39" s="139">
        <f>Z38/Z38*100</f>
        <v>100</v>
      </c>
      <c r="AA39" s="139"/>
      <c r="AB39" s="23"/>
      <c r="AC39" s="23"/>
      <c r="AF39" s="2">
        <v>257845498</v>
      </c>
      <c r="AI39" s="23"/>
    </row>
    <row r="40" spans="1:27" ht="27.75" customHeight="1" hidden="1">
      <c r="A40" s="112"/>
      <c r="B40" s="115" t="s">
        <v>108</v>
      </c>
      <c r="C40" s="116"/>
      <c r="D40" s="113">
        <f>D35/Z35</f>
        <v>0.14422111473393934</v>
      </c>
      <c r="E40" s="113">
        <f>E35/Z35</f>
        <v>0</v>
      </c>
      <c r="F40" s="113">
        <f>F35/Z35</f>
        <v>0.14422111473393934</v>
      </c>
      <c r="G40" s="113">
        <f>G35/Z35</f>
        <v>0.2712339030957612</v>
      </c>
      <c r="H40" s="113">
        <f>H35/Z35</f>
        <v>0.2712339030957612</v>
      </c>
      <c r="I40" s="113">
        <f>I35/Z35</f>
        <v>0.21128146997119043</v>
      </c>
      <c r="J40" s="113">
        <f>J35/Z35</f>
        <v>0.21128146997119043</v>
      </c>
      <c r="K40" s="113">
        <f>K35/Z35</f>
        <v>0.08822959338526777</v>
      </c>
      <c r="L40" s="113">
        <f>L35/Z35</f>
        <v>0.05897366646950032</v>
      </c>
      <c r="M40" s="113"/>
      <c r="N40" s="113">
        <f>N35/Z35</f>
        <v>0.1793668518294933</v>
      </c>
      <c r="O40" s="113">
        <f>O35/Z35</f>
        <v>0</v>
      </c>
      <c r="P40" s="113">
        <f>P35/Z35</f>
        <v>0.1512764801016118</v>
      </c>
      <c r="Q40" s="113">
        <f>Q35/Z35</f>
        <v>0.00931142920711434</v>
      </c>
      <c r="R40" s="113">
        <f>R35/Z35</f>
        <v>0.018778942520767172</v>
      </c>
      <c r="S40" s="113"/>
      <c r="T40" s="113">
        <f>T35/Z35</f>
        <v>0.05188905893495436</v>
      </c>
      <c r="U40" s="113"/>
      <c r="V40" s="113"/>
      <c r="W40" s="113"/>
      <c r="X40" s="113" t="e">
        <f>X35/AE35</f>
        <v>#DIV/0!</v>
      </c>
      <c r="Y40" s="113">
        <f>Y35/Z35</f>
        <v>0.8557788852660606</v>
      </c>
      <c r="Z40" s="113">
        <f>Z35/Z35</f>
        <v>1</v>
      </c>
      <c r="AA40" s="144"/>
    </row>
    <row r="41" spans="1:32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40"/>
      <c r="AC41" s="23"/>
      <c r="AF41" s="23">
        <f>AF39-AF38</f>
        <v>113098197</v>
      </c>
    </row>
    <row r="42" spans="1:31" ht="14.25">
      <c r="A42" s="107" t="str">
        <f>'Anne-5'!A42</f>
        <v>Conn. As on 31.08.2013</v>
      </c>
      <c r="B42" s="108"/>
      <c r="C42" s="118">
        <v>4</v>
      </c>
      <c r="D42" s="8">
        <v>95460306</v>
      </c>
      <c r="E42" s="8">
        <v>3842210</v>
      </c>
      <c r="F42" s="8">
        <v>99302516</v>
      </c>
      <c r="G42" s="8">
        <v>192222866</v>
      </c>
      <c r="H42" s="8">
        <v>192222866</v>
      </c>
      <c r="I42" s="8">
        <v>154337362</v>
      </c>
      <c r="J42" s="8">
        <v>154337362</v>
      </c>
      <c r="K42" s="8">
        <v>62602380</v>
      </c>
      <c r="L42" s="8">
        <v>43340690</v>
      </c>
      <c r="M42" s="8">
        <v>19261690</v>
      </c>
      <c r="N42" s="8">
        <v>126020313</v>
      </c>
      <c r="O42" s="8">
        <v>76759400</v>
      </c>
      <c r="P42" s="8">
        <v>23178180</v>
      </c>
      <c r="Q42" s="8">
        <v>13753394</v>
      </c>
      <c r="R42" s="8">
        <v>12329339</v>
      </c>
      <c r="S42" s="8">
        <v>35940468</v>
      </c>
      <c r="T42" s="8">
        <v>35940468</v>
      </c>
      <c r="U42" s="8">
        <v>0</v>
      </c>
      <c r="V42" s="8">
        <v>32253714</v>
      </c>
      <c r="W42" s="8">
        <v>2929783</v>
      </c>
      <c r="X42" s="8">
        <v>2760361</v>
      </c>
      <c r="Y42" s="35">
        <v>609067247</v>
      </c>
      <c r="Z42" s="36">
        <v>708369763</v>
      </c>
      <c r="AA42" s="143">
        <f>(D42)/Z42*100</f>
        <v>13.47605600720707</v>
      </c>
      <c r="AC42" s="327"/>
      <c r="AE42" s="23"/>
    </row>
    <row r="43" spans="1:29" ht="14.25">
      <c r="A43" s="107" t="str">
        <f>'Anne-5'!A43</f>
        <v>Addition during September 2013</v>
      </c>
      <c r="B43" s="108"/>
      <c r="C43" s="118">
        <v>8</v>
      </c>
      <c r="D43" s="8">
        <f aca="true" t="shared" si="17" ref="D43:W43">D38-D42</f>
        <v>12521</v>
      </c>
      <c r="E43" s="8">
        <f t="shared" si="17"/>
        <v>-231150</v>
      </c>
      <c r="F43" s="8">
        <f t="shared" si="17"/>
        <v>-218629</v>
      </c>
      <c r="G43" s="8">
        <f t="shared" si="17"/>
        <v>1164535</v>
      </c>
      <c r="H43" s="8">
        <f t="shared" si="17"/>
        <v>1164535</v>
      </c>
      <c r="I43" s="8">
        <f t="shared" si="17"/>
        <v>1205819</v>
      </c>
      <c r="J43" s="8">
        <f t="shared" si="17"/>
        <v>1205819</v>
      </c>
      <c r="K43" s="8">
        <f t="shared" si="17"/>
        <v>642799</v>
      </c>
      <c r="L43" s="8">
        <f t="shared" si="17"/>
        <v>537380</v>
      </c>
      <c r="M43" s="8">
        <f t="shared" si="17"/>
        <v>105419</v>
      </c>
      <c r="N43" s="8">
        <f t="shared" si="17"/>
        <v>1207879</v>
      </c>
      <c r="O43" s="541">
        <f t="shared" si="17"/>
        <v>-76759400</v>
      </c>
      <c r="P43" s="8">
        <f t="shared" si="17"/>
        <v>85454488</v>
      </c>
      <c r="Q43" s="8">
        <f t="shared" si="17"/>
        <v>-7589328</v>
      </c>
      <c r="R43" s="8">
        <f>R38-R42</f>
        <v>102119</v>
      </c>
      <c r="S43" s="8">
        <f t="shared" si="17"/>
        <v>-1590469</v>
      </c>
      <c r="T43" s="8">
        <f t="shared" si="17"/>
        <v>-1590469</v>
      </c>
      <c r="U43" s="8">
        <f t="shared" si="17"/>
        <v>0</v>
      </c>
      <c r="V43" s="8">
        <f t="shared" si="17"/>
        <v>102186</v>
      </c>
      <c r="W43" s="8">
        <f t="shared" si="17"/>
        <v>314780</v>
      </c>
      <c r="X43" s="8">
        <f>X38-X42</f>
        <v>65057</v>
      </c>
      <c r="Y43" s="8">
        <f>Y38-Y42</f>
        <v>3112586</v>
      </c>
      <c r="Z43" s="8">
        <f>Z38-Z42</f>
        <v>2893957</v>
      </c>
      <c r="AA43" s="488" t="s">
        <v>130</v>
      </c>
      <c r="AB43" s="23"/>
      <c r="AC43" s="23"/>
    </row>
    <row r="44" spans="1:30" ht="14.25">
      <c r="A44" s="107" t="str">
        <f>'Anne-5'!A44</f>
        <v>Conn. As on 31.03.2013</v>
      </c>
      <c r="B44" s="110"/>
      <c r="C44" s="4">
        <v>4</v>
      </c>
      <c r="D44" s="8">
        <v>98504812</v>
      </c>
      <c r="E44" s="8">
        <v>4819942</v>
      </c>
      <c r="F44" s="8">
        <v>103324754</v>
      </c>
      <c r="G44" s="8">
        <v>188196071</v>
      </c>
      <c r="H44" s="8">
        <v>188196071</v>
      </c>
      <c r="I44" s="8">
        <v>152353654</v>
      </c>
      <c r="J44" s="8">
        <v>152353654</v>
      </c>
      <c r="K44" s="8">
        <v>60071967</v>
      </c>
      <c r="L44" s="8">
        <v>40991603</v>
      </c>
      <c r="M44" s="8">
        <v>19080364</v>
      </c>
      <c r="N44" s="8">
        <v>121607390</v>
      </c>
      <c r="O44" s="8">
        <v>74045293</v>
      </c>
      <c r="P44" s="8">
        <v>22496430</v>
      </c>
      <c r="Q44" s="8">
        <v>13028259</v>
      </c>
      <c r="R44" s="8">
        <v>12037408</v>
      </c>
      <c r="S44" s="8">
        <v>34657017</v>
      </c>
      <c r="T44" s="8">
        <v>34657017</v>
      </c>
      <c r="U44" s="8">
        <v>0</v>
      </c>
      <c r="V44" s="8">
        <v>31683600</v>
      </c>
      <c r="W44" s="8">
        <v>2009474</v>
      </c>
      <c r="X44" s="8">
        <v>2987976</v>
      </c>
      <c r="Y44" s="8">
        <v>593567149</v>
      </c>
      <c r="Z44" s="8">
        <v>696891903</v>
      </c>
      <c r="AA44" s="145">
        <f>(D44)/Z44*100</f>
        <v>14.134876811734173</v>
      </c>
      <c r="AD44" s="23"/>
    </row>
    <row r="45" spans="1:30" ht="14.25">
      <c r="A45" s="107" t="str">
        <f>'Anne-5'!A45</f>
        <v>Addition during 2013-14</v>
      </c>
      <c r="B45" s="108"/>
      <c r="C45" s="4">
        <v>10</v>
      </c>
      <c r="D45" s="8">
        <f>D38-D44</f>
        <v>-3031985</v>
      </c>
      <c r="E45" s="541">
        <f aca="true" t="shared" si="18" ref="E45:Z45">E38-E44</f>
        <v>-1208882</v>
      </c>
      <c r="F45" s="8">
        <f t="shared" si="18"/>
        <v>-4240867</v>
      </c>
      <c r="G45" s="8">
        <f t="shared" si="18"/>
        <v>5191330</v>
      </c>
      <c r="H45" s="8">
        <f t="shared" si="18"/>
        <v>5191330</v>
      </c>
      <c r="I45" s="8">
        <f t="shared" si="18"/>
        <v>3189527</v>
      </c>
      <c r="J45" s="8">
        <f t="shared" si="18"/>
        <v>3189527</v>
      </c>
      <c r="K45" s="8">
        <f t="shared" si="18"/>
        <v>3173212</v>
      </c>
      <c r="L45" s="8">
        <f t="shared" si="18"/>
        <v>2886467</v>
      </c>
      <c r="M45" s="8">
        <f t="shared" si="18"/>
        <v>286745</v>
      </c>
      <c r="N45" s="8">
        <f t="shared" si="18"/>
        <v>5620802</v>
      </c>
      <c r="O45" s="541">
        <f t="shared" si="18"/>
        <v>-74045293</v>
      </c>
      <c r="P45" s="8">
        <f t="shared" si="18"/>
        <v>86136238</v>
      </c>
      <c r="Q45" s="8">
        <f t="shared" si="18"/>
        <v>-6864193</v>
      </c>
      <c r="R45" s="8">
        <f>R38-R44</f>
        <v>394050</v>
      </c>
      <c r="S45" s="8">
        <f t="shared" si="18"/>
        <v>-307018</v>
      </c>
      <c r="T45" s="8">
        <f t="shared" si="18"/>
        <v>-307018</v>
      </c>
      <c r="U45" s="8">
        <f t="shared" si="18"/>
        <v>0</v>
      </c>
      <c r="V45" s="8">
        <f t="shared" si="18"/>
        <v>672300</v>
      </c>
      <c r="W45" s="8">
        <f t="shared" si="18"/>
        <v>1235089</v>
      </c>
      <c r="X45" s="8">
        <f>X38-X44</f>
        <v>-162558</v>
      </c>
      <c r="Y45" s="8">
        <f t="shared" si="18"/>
        <v>18612684</v>
      </c>
      <c r="Z45" s="8">
        <f t="shared" si="18"/>
        <v>14371817</v>
      </c>
      <c r="AA45" s="488" t="s">
        <v>130</v>
      </c>
      <c r="AB45" s="23"/>
      <c r="AC45" s="23"/>
      <c r="AD45" s="23"/>
    </row>
    <row r="46" spans="2:30" ht="15"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E48" s="2">
        <v>2600330</v>
      </c>
      <c r="N48" s="23"/>
      <c r="S48" s="136"/>
      <c r="Z48" s="23"/>
    </row>
    <row r="49" spans="2:29" ht="15">
      <c r="B49" s="26"/>
      <c r="C49" s="26"/>
      <c r="D49" s="23"/>
      <c r="E49" s="2">
        <v>2200554</v>
      </c>
      <c r="S49" s="23"/>
      <c r="T49" s="23"/>
      <c r="Y49" s="23"/>
      <c r="Z49" s="2">
        <v>97172146</v>
      </c>
      <c r="AC49" s="23"/>
    </row>
    <row r="50" spans="2:26" ht="15">
      <c r="B50" s="26"/>
      <c r="C50" s="26"/>
      <c r="E50" s="23">
        <f>E48-E36</f>
        <v>81250</v>
      </c>
      <c r="Z50" s="23">
        <f>Z38-S38-D42+Z49</f>
        <v>678625561</v>
      </c>
    </row>
    <row r="51" spans="5:29" ht="14.25">
      <c r="E51" s="23">
        <f>E49-E37</f>
        <v>1108574</v>
      </c>
      <c r="F51" s="23"/>
      <c r="T51" s="23"/>
      <c r="Z51" s="23"/>
      <c r="AC51" s="2">
        <v>606419943</v>
      </c>
    </row>
    <row r="52" ht="14.25">
      <c r="AC52" s="23">
        <v>28798181</v>
      </c>
    </row>
    <row r="53" spans="29:30" ht="14.25">
      <c r="AC53" s="23">
        <f>SUM(AC51:AC52)</f>
        <v>635218124</v>
      </c>
      <c r="AD53" s="2">
        <v>90234162</v>
      </c>
    </row>
    <row r="54" ht="14.25">
      <c r="AC54" s="23">
        <f>AC53-AD53+D38</f>
        <v>640456789</v>
      </c>
    </row>
  </sheetData>
  <sheetProtection/>
  <mergeCells count="22">
    <mergeCell ref="X7:X8"/>
    <mergeCell ref="W7:W8"/>
    <mergeCell ref="AB6:AD7"/>
    <mergeCell ref="Z6:Z8"/>
    <mergeCell ref="Y6:Y8"/>
    <mergeCell ref="AA6:AA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N7:N8"/>
    <mergeCell ref="U7:U8"/>
    <mergeCell ref="V7:V8"/>
    <mergeCell ref="O7:R7"/>
    <mergeCell ref="S7:S8"/>
    <mergeCell ref="T7:T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 horizontalCentered="1" vertic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80"/>
  <sheetViews>
    <sheetView zoomScaleSheetLayoutView="10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" sqref="H2"/>
    </sheetView>
  </sheetViews>
  <sheetFormatPr defaultColWidth="9.140625" defaultRowHeight="12.75"/>
  <cols>
    <col min="1" max="1" width="6.140625" style="380" customWidth="1"/>
    <col min="2" max="2" width="24.140625" style="380" customWidth="1"/>
    <col min="3" max="3" width="6.7109375" style="380" customWidth="1"/>
    <col min="4" max="4" width="12.140625" style="380" customWidth="1"/>
    <col min="5" max="5" width="10.140625" style="380" customWidth="1"/>
    <col min="6" max="6" width="12.00390625" style="380" customWidth="1"/>
    <col min="7" max="7" width="10.140625" style="380" customWidth="1"/>
    <col min="8" max="8" width="12.140625" style="380" customWidth="1"/>
    <col min="9" max="9" width="14.28125" style="396" customWidth="1"/>
    <col min="10" max="10" width="14.140625" style="380" customWidth="1"/>
    <col min="11" max="11" width="11.28125" style="380" customWidth="1"/>
    <col min="12" max="12" width="13.00390625" style="380" customWidth="1"/>
    <col min="13" max="14" width="14.28125" style="380" customWidth="1"/>
    <col min="15" max="15" width="11.8515625" style="380" customWidth="1"/>
    <col min="16" max="22" width="11.7109375" style="380" customWidth="1"/>
    <col min="23" max="23" width="10.140625" style="380" bestFit="1" customWidth="1"/>
    <col min="24" max="24" width="9.140625" style="380" customWidth="1"/>
    <col min="25" max="25" width="9.28125" style="380" customWidth="1"/>
    <col min="26" max="26" width="11.7109375" style="380" bestFit="1" customWidth="1"/>
    <col min="27" max="27" width="10.7109375" style="380" bestFit="1" customWidth="1"/>
    <col min="28" max="28" width="11.421875" style="380" customWidth="1"/>
    <col min="29" max="16384" width="9.140625" style="380" customWidth="1"/>
  </cols>
  <sheetData>
    <row r="1" ht="15.75">
      <c r="N1" s="29" t="s">
        <v>135</v>
      </c>
    </row>
    <row r="2" spans="2:9" ht="15">
      <c r="B2" s="26" t="str">
        <f>'Anne-6'!B2</f>
        <v>No. 1-2(1)/Market Share/2013-CP&amp;M </v>
      </c>
      <c r="C2" s="26"/>
      <c r="D2" s="26"/>
      <c r="E2" s="26"/>
      <c r="F2" s="26"/>
      <c r="G2" s="26"/>
      <c r="H2" s="26"/>
      <c r="I2" s="26"/>
    </row>
    <row r="4" spans="2:3" ht="15.75">
      <c r="B4" s="29" t="s">
        <v>270</v>
      </c>
      <c r="C4" s="29"/>
    </row>
    <row r="5" spans="4:12" ht="15">
      <c r="D5" s="380">
        <v>1</v>
      </c>
      <c r="G5" s="380">
        <v>2</v>
      </c>
      <c r="I5" s="396">
        <v>3</v>
      </c>
      <c r="J5" s="380">
        <v>4</v>
      </c>
      <c r="K5" s="380">
        <v>5</v>
      </c>
      <c r="L5" s="380">
        <v>6</v>
      </c>
    </row>
    <row r="6" spans="1:22" ht="15" customHeight="1">
      <c r="A6" s="589" t="s">
        <v>19</v>
      </c>
      <c r="B6" s="589" t="s">
        <v>20</v>
      </c>
      <c r="C6" s="659" t="s">
        <v>118</v>
      </c>
      <c r="D6" s="663" t="s">
        <v>105</v>
      </c>
      <c r="E6" s="663"/>
      <c r="F6" s="663"/>
      <c r="G6" s="663"/>
      <c r="H6" s="663"/>
      <c r="I6" s="662" t="s">
        <v>200</v>
      </c>
      <c r="J6" s="662"/>
      <c r="K6" s="662"/>
      <c r="L6" s="662"/>
      <c r="M6" s="662"/>
      <c r="N6" s="667" t="s">
        <v>80</v>
      </c>
      <c r="O6" s="659" t="s">
        <v>120</v>
      </c>
      <c r="P6" s="577" t="s">
        <v>97</v>
      </c>
      <c r="Q6" s="589"/>
      <c r="R6" s="589"/>
      <c r="S6" s="589"/>
      <c r="T6" s="589"/>
      <c r="U6" s="589"/>
      <c r="V6" s="397"/>
    </row>
    <row r="7" spans="1:22" ht="18.75" customHeight="1">
      <c r="A7" s="589"/>
      <c r="B7" s="589"/>
      <c r="C7" s="660"/>
      <c r="D7" s="664" t="s">
        <v>1</v>
      </c>
      <c r="E7" s="664"/>
      <c r="F7" s="664"/>
      <c r="G7" s="665" t="s">
        <v>2</v>
      </c>
      <c r="H7" s="662" t="s">
        <v>89</v>
      </c>
      <c r="I7" s="666" t="s">
        <v>58</v>
      </c>
      <c r="J7" s="664" t="s">
        <v>59</v>
      </c>
      <c r="K7" s="670" t="s">
        <v>202</v>
      </c>
      <c r="L7" s="664" t="s">
        <v>203</v>
      </c>
      <c r="M7" s="668" t="s">
        <v>61</v>
      </c>
      <c r="N7" s="667"/>
      <c r="O7" s="660"/>
      <c r="P7" s="577" t="s">
        <v>98</v>
      </c>
      <c r="Q7" s="589"/>
      <c r="R7" s="589"/>
      <c r="S7" s="589" t="s">
        <v>6</v>
      </c>
      <c r="T7" s="589"/>
      <c r="U7" s="589"/>
      <c r="V7" s="397"/>
    </row>
    <row r="8" spans="1:22" ht="33.75" customHeight="1">
      <c r="A8" s="589"/>
      <c r="B8" s="589"/>
      <c r="C8" s="661"/>
      <c r="D8" s="422" t="s">
        <v>98</v>
      </c>
      <c r="E8" s="422" t="s">
        <v>6</v>
      </c>
      <c r="F8" s="422" t="s">
        <v>47</v>
      </c>
      <c r="G8" s="665"/>
      <c r="H8" s="662"/>
      <c r="I8" s="666"/>
      <c r="J8" s="664"/>
      <c r="K8" s="671"/>
      <c r="L8" s="664"/>
      <c r="M8" s="669"/>
      <c r="N8" s="667"/>
      <c r="O8" s="661"/>
      <c r="P8" s="53" t="s">
        <v>47</v>
      </c>
      <c r="Q8" s="469" t="s">
        <v>87</v>
      </c>
      <c r="R8" s="469" t="s">
        <v>88</v>
      </c>
      <c r="S8" s="470" t="s">
        <v>47</v>
      </c>
      <c r="T8" s="469" t="s">
        <v>87</v>
      </c>
      <c r="U8" s="469" t="s">
        <v>88</v>
      </c>
      <c r="V8" s="137"/>
    </row>
    <row r="9" spans="1:27" ht="17.25" customHeight="1">
      <c r="A9" s="398">
        <v>1</v>
      </c>
      <c r="B9" s="399" t="s">
        <v>21</v>
      </c>
      <c r="C9" s="399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3"/>
      <c r="P9" s="400">
        <f>Q9+R9</f>
        <v>5035</v>
      </c>
      <c r="Q9" s="497">
        <v>2139</v>
      </c>
      <c r="R9" s="401">
        <v>2896</v>
      </c>
      <c r="S9" s="401">
        <f>T9+U9</f>
        <v>6657</v>
      </c>
      <c r="T9" s="401">
        <v>5112</v>
      </c>
      <c r="U9" s="401">
        <v>1545</v>
      </c>
      <c r="V9" s="402"/>
      <c r="W9" s="324">
        <v>11628</v>
      </c>
      <c r="X9" s="324"/>
      <c r="Z9" s="403"/>
      <c r="AA9" s="403"/>
    </row>
    <row r="10" spans="1:28" ht="15">
      <c r="A10" s="398">
        <v>2</v>
      </c>
      <c r="B10" s="399" t="s">
        <v>22</v>
      </c>
      <c r="C10" s="404">
        <v>3</v>
      </c>
      <c r="D10" s="423">
        <f>P10</f>
        <v>82012</v>
      </c>
      <c r="E10" s="423">
        <f>S10</f>
        <v>5146</v>
      </c>
      <c r="F10" s="423">
        <f>D10+E10</f>
        <v>87158</v>
      </c>
      <c r="G10" s="424"/>
      <c r="H10" s="424">
        <f>F10+G10</f>
        <v>87158</v>
      </c>
      <c r="I10" s="425">
        <v>5838085</v>
      </c>
      <c r="J10" s="425">
        <v>6422349</v>
      </c>
      <c r="K10" s="425"/>
      <c r="L10" s="425"/>
      <c r="M10" s="424">
        <f>I10+K10+J10+L10</f>
        <v>12260434</v>
      </c>
      <c r="N10" s="424">
        <f>M10+H10</f>
        <v>12347592</v>
      </c>
      <c r="O10" s="141">
        <f>F10/N10*100</f>
        <v>0.7058704239660656</v>
      </c>
      <c r="P10" s="405">
        <f aca="true" t="shared" si="0" ref="P10:P34">Q10+R10</f>
        <v>82012</v>
      </c>
      <c r="Q10" s="497">
        <v>17909</v>
      </c>
      <c r="R10" s="401">
        <v>64103</v>
      </c>
      <c r="S10" s="184">
        <f aca="true" t="shared" si="1" ref="S10:S23">T10+U10</f>
        <v>5146</v>
      </c>
      <c r="T10" s="401">
        <v>3379</v>
      </c>
      <c r="U10" s="401">
        <v>1767</v>
      </c>
      <c r="V10" s="402"/>
      <c r="W10" s="324">
        <v>87835</v>
      </c>
      <c r="Z10" s="403"/>
      <c r="AA10" s="403"/>
      <c r="AB10" s="403"/>
    </row>
    <row r="11" spans="1:28" ht="15">
      <c r="A11" s="398">
        <v>3</v>
      </c>
      <c r="B11" s="399" t="s">
        <v>23</v>
      </c>
      <c r="C11" s="404">
        <v>1</v>
      </c>
      <c r="D11" s="423">
        <f>P11</f>
        <v>85977</v>
      </c>
      <c r="E11" s="423">
        <f>S11</f>
        <v>9672</v>
      </c>
      <c r="F11" s="423">
        <f aca="true" t="shared" si="2" ref="F11:F34">D11+E11</f>
        <v>95649</v>
      </c>
      <c r="G11" s="424"/>
      <c r="H11" s="424">
        <f aca="true" t="shared" si="3" ref="H11:H37">F11+G11</f>
        <v>95649</v>
      </c>
      <c r="I11" s="3"/>
      <c r="J11" s="425"/>
      <c r="K11" s="425"/>
      <c r="L11" s="425"/>
      <c r="M11" s="424">
        <f aca="true" t="shared" si="4" ref="M11:M33">I11+K11+J11+L11</f>
        <v>0</v>
      </c>
      <c r="N11" s="424">
        <f aca="true" t="shared" si="5" ref="N11:N37">M11+H11</f>
        <v>95649</v>
      </c>
      <c r="O11" s="141">
        <f aca="true" t="shared" si="6" ref="O11:O35">F11/N11*100</f>
        <v>100</v>
      </c>
      <c r="P11" s="405">
        <f t="shared" si="0"/>
        <v>85977</v>
      </c>
      <c r="Q11" s="497">
        <v>3170</v>
      </c>
      <c r="R11" s="401">
        <v>82807</v>
      </c>
      <c r="S11" s="184">
        <f t="shared" si="1"/>
        <v>9672</v>
      </c>
      <c r="T11" s="401">
        <v>678</v>
      </c>
      <c r="U11" s="401">
        <v>8994</v>
      </c>
      <c r="V11" s="402"/>
      <c r="W11" s="324">
        <v>93350</v>
      </c>
      <c r="X11" s="403"/>
      <c r="Z11" s="403"/>
      <c r="AA11" s="403"/>
      <c r="AB11" s="403"/>
    </row>
    <row r="12" spans="1:28" ht="15">
      <c r="A12" s="398">
        <v>4</v>
      </c>
      <c r="B12" s="399" t="s">
        <v>24</v>
      </c>
      <c r="C12" s="404">
        <v>3</v>
      </c>
      <c r="D12" s="423">
        <f>P12+P18</f>
        <v>210767</v>
      </c>
      <c r="E12" s="423">
        <f>S12+S18</f>
        <v>4031</v>
      </c>
      <c r="F12" s="423">
        <f t="shared" si="2"/>
        <v>214798</v>
      </c>
      <c r="G12" s="424"/>
      <c r="H12" s="424">
        <f t="shared" si="3"/>
        <v>214798</v>
      </c>
      <c r="I12" s="23">
        <f>8818475-'Anne-6'!S12</f>
        <v>2927243</v>
      </c>
      <c r="J12" s="425">
        <v>3272417</v>
      </c>
      <c r="K12" s="425"/>
      <c r="L12" s="425"/>
      <c r="M12" s="424">
        <f t="shared" si="4"/>
        <v>6199660</v>
      </c>
      <c r="N12" s="424">
        <f t="shared" si="5"/>
        <v>6414458</v>
      </c>
      <c r="O12" s="141">
        <f t="shared" si="6"/>
        <v>3.3486539314779207</v>
      </c>
      <c r="P12" s="405">
        <f t="shared" si="0"/>
        <v>112031</v>
      </c>
      <c r="Q12" s="497">
        <v>6129</v>
      </c>
      <c r="R12" s="401">
        <v>105902</v>
      </c>
      <c r="S12" s="184">
        <f t="shared" si="1"/>
        <v>2467</v>
      </c>
      <c r="T12" s="401">
        <v>1931</v>
      </c>
      <c r="U12" s="401">
        <v>536</v>
      </c>
      <c r="V12" s="402"/>
      <c r="W12" s="324">
        <v>113895</v>
      </c>
      <c r="X12" s="403"/>
      <c r="Z12" s="403"/>
      <c r="AA12" s="403"/>
      <c r="AB12" s="403"/>
    </row>
    <row r="13" spans="1:28" ht="15">
      <c r="A13" s="398">
        <v>5</v>
      </c>
      <c r="B13" s="399" t="s">
        <v>25</v>
      </c>
      <c r="C13" s="404"/>
      <c r="D13" s="423"/>
      <c r="E13" s="423"/>
      <c r="F13" s="423"/>
      <c r="G13" s="424"/>
      <c r="H13" s="424"/>
      <c r="I13" s="3"/>
      <c r="J13" s="425"/>
      <c r="K13" s="425"/>
      <c r="L13" s="425"/>
      <c r="M13" s="424"/>
      <c r="N13" s="424"/>
      <c r="O13" s="141"/>
      <c r="P13" s="405">
        <f t="shared" si="0"/>
        <v>106869</v>
      </c>
      <c r="Q13" s="497">
        <v>24855</v>
      </c>
      <c r="R13" s="401">
        <v>82014</v>
      </c>
      <c r="S13" s="184">
        <f t="shared" si="1"/>
        <v>6327</v>
      </c>
      <c r="T13" s="401">
        <v>1417</v>
      </c>
      <c r="U13" s="401">
        <v>4910</v>
      </c>
      <c r="V13" s="402"/>
      <c r="W13" s="324">
        <v>117846</v>
      </c>
      <c r="X13" s="403"/>
      <c r="Z13" s="403"/>
      <c r="AA13" s="403"/>
      <c r="AB13" s="403"/>
    </row>
    <row r="14" spans="1:28" ht="15">
      <c r="A14" s="398">
        <v>6</v>
      </c>
      <c r="B14" s="399" t="s">
        <v>26</v>
      </c>
      <c r="C14" s="404">
        <v>4</v>
      </c>
      <c r="D14" s="423">
        <f>P14</f>
        <v>88099</v>
      </c>
      <c r="E14" s="423">
        <f>S14</f>
        <v>20938</v>
      </c>
      <c r="F14" s="423">
        <f t="shared" si="2"/>
        <v>109037</v>
      </c>
      <c r="G14" s="424"/>
      <c r="H14" s="424">
        <f t="shared" si="3"/>
        <v>109037</v>
      </c>
      <c r="I14" s="425">
        <v>8818475</v>
      </c>
      <c r="J14" s="425">
        <v>2628198</v>
      </c>
      <c r="K14" s="425"/>
      <c r="L14" s="425">
        <v>175572</v>
      </c>
      <c r="M14" s="424">
        <f t="shared" si="4"/>
        <v>11622245</v>
      </c>
      <c r="N14" s="424">
        <f t="shared" si="5"/>
        <v>11731282</v>
      </c>
      <c r="O14" s="141">
        <f t="shared" si="6"/>
        <v>0.9294551098507393</v>
      </c>
      <c r="P14" s="405">
        <f t="shared" si="0"/>
        <v>88099</v>
      </c>
      <c r="Q14" s="497">
        <v>21052</v>
      </c>
      <c r="R14" s="401">
        <v>67047</v>
      </c>
      <c r="S14" s="184">
        <f>T14+U14</f>
        <v>20938</v>
      </c>
      <c r="T14" s="401">
        <v>19384</v>
      </c>
      <c r="U14" s="401">
        <v>1554</v>
      </c>
      <c r="V14" s="402"/>
      <c r="W14" s="324">
        <v>111649</v>
      </c>
      <c r="X14" s="403"/>
      <c r="Z14" s="403"/>
      <c r="AA14" s="403"/>
      <c r="AB14" s="403"/>
    </row>
    <row r="15" spans="1:28" ht="15">
      <c r="A15" s="398">
        <v>7</v>
      </c>
      <c r="B15" s="399" t="s">
        <v>27</v>
      </c>
      <c r="C15" s="404">
        <v>3</v>
      </c>
      <c r="D15" s="423">
        <f>P15</f>
        <v>17042</v>
      </c>
      <c r="E15" s="423">
        <f>S15</f>
        <v>1508</v>
      </c>
      <c r="F15" s="423">
        <f t="shared" si="2"/>
        <v>18550</v>
      </c>
      <c r="G15" s="424"/>
      <c r="H15" s="424">
        <f t="shared" si="3"/>
        <v>18550</v>
      </c>
      <c r="I15" s="425">
        <v>2132062</v>
      </c>
      <c r="J15" s="425">
        <v>2641822</v>
      </c>
      <c r="K15" s="425"/>
      <c r="L15" s="425"/>
      <c r="M15" s="424">
        <f t="shared" si="4"/>
        <v>4773884</v>
      </c>
      <c r="N15" s="424">
        <f t="shared" si="5"/>
        <v>4792434</v>
      </c>
      <c r="O15" s="141">
        <f t="shared" si="6"/>
        <v>0.3870684499776106</v>
      </c>
      <c r="P15" s="405">
        <f t="shared" si="0"/>
        <v>17042</v>
      </c>
      <c r="Q15" s="497">
        <v>2192</v>
      </c>
      <c r="R15" s="401">
        <v>14850</v>
      </c>
      <c r="S15" s="184">
        <f t="shared" si="1"/>
        <v>1508</v>
      </c>
      <c r="T15" s="406">
        <v>1392</v>
      </c>
      <c r="U15" s="401">
        <v>116</v>
      </c>
      <c r="V15" s="402"/>
      <c r="W15" s="324">
        <v>19541</v>
      </c>
      <c r="X15" s="403"/>
      <c r="Z15" s="403"/>
      <c r="AA15" s="403"/>
      <c r="AB15" s="403"/>
    </row>
    <row r="16" spans="1:28" ht="18" customHeight="1">
      <c r="A16" s="398">
        <v>8</v>
      </c>
      <c r="B16" s="399" t="s">
        <v>28</v>
      </c>
      <c r="C16" s="404">
        <v>2</v>
      </c>
      <c r="D16" s="423">
        <f>P16</f>
        <v>53288</v>
      </c>
      <c r="E16" s="423">
        <f>S16</f>
        <v>655</v>
      </c>
      <c r="F16" s="423">
        <f t="shared" si="2"/>
        <v>53943</v>
      </c>
      <c r="G16" s="424"/>
      <c r="H16" s="424">
        <f t="shared" si="3"/>
        <v>53943</v>
      </c>
      <c r="I16" s="3"/>
      <c r="J16" s="425">
        <v>149456</v>
      </c>
      <c r="K16" s="425"/>
      <c r="L16" s="425"/>
      <c r="M16" s="424">
        <f t="shared" si="4"/>
        <v>149456</v>
      </c>
      <c r="N16" s="424">
        <f t="shared" si="5"/>
        <v>203399</v>
      </c>
      <c r="O16" s="141">
        <f t="shared" si="6"/>
        <v>26.520779354864082</v>
      </c>
      <c r="P16" s="405">
        <f t="shared" si="0"/>
        <v>53288</v>
      </c>
      <c r="Q16" s="497">
        <v>2629</v>
      </c>
      <c r="R16" s="401">
        <v>50659</v>
      </c>
      <c r="S16" s="184">
        <f t="shared" si="1"/>
        <v>655</v>
      </c>
      <c r="T16" s="401">
        <v>100</v>
      </c>
      <c r="U16" s="401">
        <v>555</v>
      </c>
      <c r="V16" s="402"/>
      <c r="W16" s="324">
        <v>54745</v>
      </c>
      <c r="X16" s="403"/>
      <c r="Z16" s="403"/>
      <c r="AA16" s="403"/>
      <c r="AB16" s="403"/>
    </row>
    <row r="17" spans="1:28" ht="17.25" customHeight="1">
      <c r="A17" s="398">
        <v>9</v>
      </c>
      <c r="B17" s="399" t="s">
        <v>29</v>
      </c>
      <c r="C17" s="404">
        <v>2</v>
      </c>
      <c r="D17" s="423">
        <f>P17</f>
        <v>65418</v>
      </c>
      <c r="E17" s="423">
        <f>S17</f>
        <v>380</v>
      </c>
      <c r="F17" s="423">
        <f t="shared" si="2"/>
        <v>65798</v>
      </c>
      <c r="G17" s="424"/>
      <c r="H17" s="424">
        <f t="shared" si="3"/>
        <v>65798</v>
      </c>
      <c r="I17" s="425">
        <v>672626</v>
      </c>
      <c r="J17" s="425"/>
      <c r="K17" s="425"/>
      <c r="L17" s="425"/>
      <c r="M17" s="424">
        <f t="shared" si="4"/>
        <v>672626</v>
      </c>
      <c r="N17" s="424">
        <f t="shared" si="5"/>
        <v>738424</v>
      </c>
      <c r="O17" s="141">
        <f t="shared" si="6"/>
        <v>8.910598788771761</v>
      </c>
      <c r="P17" s="405">
        <f t="shared" si="0"/>
        <v>65418</v>
      </c>
      <c r="Q17" s="497">
        <v>40088</v>
      </c>
      <c r="R17" s="401">
        <v>25330</v>
      </c>
      <c r="S17" s="184">
        <f t="shared" si="1"/>
        <v>380</v>
      </c>
      <c r="T17" s="401">
        <v>68</v>
      </c>
      <c r="U17" s="401">
        <v>312</v>
      </c>
      <c r="V17" s="402"/>
      <c r="W17" s="324">
        <v>67415</v>
      </c>
      <c r="X17" s="403"/>
      <c r="Z17" s="403"/>
      <c r="AA17" s="403"/>
      <c r="AB17" s="403"/>
    </row>
    <row r="18" spans="1:28" ht="15">
      <c r="A18" s="398">
        <v>10</v>
      </c>
      <c r="B18" s="399" t="s">
        <v>30</v>
      </c>
      <c r="C18" s="404"/>
      <c r="D18" s="423"/>
      <c r="E18" s="423"/>
      <c r="F18" s="423"/>
      <c r="G18" s="424"/>
      <c r="H18" s="424"/>
      <c r="I18" s="3"/>
      <c r="J18" s="425"/>
      <c r="K18" s="425"/>
      <c r="L18" s="425"/>
      <c r="M18" s="424"/>
      <c r="N18" s="424"/>
      <c r="O18" s="141"/>
      <c r="P18" s="405">
        <f t="shared" si="0"/>
        <v>98736</v>
      </c>
      <c r="Q18" s="497">
        <v>17322</v>
      </c>
      <c r="R18" s="401">
        <v>81414</v>
      </c>
      <c r="S18" s="184">
        <f t="shared" si="1"/>
        <v>1564</v>
      </c>
      <c r="T18" s="401">
        <v>1564</v>
      </c>
      <c r="U18" s="401">
        <v>0</v>
      </c>
      <c r="V18" s="402"/>
      <c r="W18" s="324">
        <v>100246</v>
      </c>
      <c r="X18" s="403"/>
      <c r="Z18" s="403"/>
      <c r="AA18" s="403"/>
      <c r="AB18" s="403"/>
    </row>
    <row r="19" spans="1:28" ht="15">
      <c r="A19" s="398">
        <v>11</v>
      </c>
      <c r="B19" s="399" t="s">
        <v>31</v>
      </c>
      <c r="C19" s="404">
        <v>4</v>
      </c>
      <c r="D19" s="423">
        <f>P19</f>
        <v>134614</v>
      </c>
      <c r="E19" s="423">
        <f>S19</f>
        <v>11149</v>
      </c>
      <c r="F19" s="423">
        <f t="shared" si="2"/>
        <v>145763</v>
      </c>
      <c r="G19" s="424"/>
      <c r="H19" s="424">
        <f t="shared" si="3"/>
        <v>145763</v>
      </c>
      <c r="I19" s="425">
        <v>6280514</v>
      </c>
      <c r="J19" s="425">
        <v>5847645</v>
      </c>
      <c r="K19" s="425"/>
      <c r="L19" s="425">
        <v>1924172</v>
      </c>
      <c r="M19" s="424">
        <f t="shared" si="4"/>
        <v>14052331</v>
      </c>
      <c r="N19" s="424">
        <f t="shared" si="5"/>
        <v>14198094</v>
      </c>
      <c r="O19" s="141">
        <f t="shared" si="6"/>
        <v>1.0266378008203074</v>
      </c>
      <c r="P19" s="405">
        <f t="shared" si="0"/>
        <v>134614</v>
      </c>
      <c r="Q19" s="497">
        <v>26469</v>
      </c>
      <c r="R19" s="401">
        <v>108145</v>
      </c>
      <c r="S19" s="184">
        <f>T19+U19</f>
        <v>11149</v>
      </c>
      <c r="T19" s="401">
        <v>7334</v>
      </c>
      <c r="U19" s="401">
        <v>3815</v>
      </c>
      <c r="V19" s="402"/>
      <c r="W19" s="324">
        <v>150711</v>
      </c>
      <c r="X19" s="403"/>
      <c r="Z19" s="403"/>
      <c r="AA19" s="403"/>
      <c r="AB19" s="403"/>
    </row>
    <row r="20" spans="1:28" ht="15">
      <c r="A20" s="398">
        <v>12</v>
      </c>
      <c r="B20" s="399" t="s">
        <v>32</v>
      </c>
      <c r="C20" s="404">
        <v>4</v>
      </c>
      <c r="D20" s="423">
        <f>P20</f>
        <v>256948</v>
      </c>
      <c r="E20" s="423">
        <f>S20</f>
        <v>3701</v>
      </c>
      <c r="F20" s="423">
        <f t="shared" si="2"/>
        <v>260649</v>
      </c>
      <c r="G20" s="424"/>
      <c r="H20" s="424">
        <f t="shared" si="3"/>
        <v>260649</v>
      </c>
      <c r="I20" s="425">
        <v>2331344</v>
      </c>
      <c r="J20" s="425">
        <v>1654458</v>
      </c>
      <c r="K20" s="425"/>
      <c r="L20" s="425">
        <v>436353</v>
      </c>
      <c r="M20" s="424">
        <f t="shared" si="4"/>
        <v>4422155</v>
      </c>
      <c r="N20" s="424">
        <f t="shared" si="5"/>
        <v>4682804</v>
      </c>
      <c r="O20" s="141">
        <f t="shared" si="6"/>
        <v>5.56608818135459</v>
      </c>
      <c r="P20" s="405">
        <f t="shared" si="0"/>
        <v>256948</v>
      </c>
      <c r="Q20" s="497">
        <v>37288</v>
      </c>
      <c r="R20" s="401">
        <v>219660</v>
      </c>
      <c r="S20" s="184">
        <f t="shared" si="1"/>
        <v>3701</v>
      </c>
      <c r="T20" s="401">
        <v>1957</v>
      </c>
      <c r="U20" s="401">
        <v>1744</v>
      </c>
      <c r="V20" s="402"/>
      <c r="W20" s="324">
        <v>270565</v>
      </c>
      <c r="X20" s="403"/>
      <c r="Z20" s="403"/>
      <c r="AA20" s="403"/>
      <c r="AB20" s="403"/>
    </row>
    <row r="21" spans="1:28" ht="15">
      <c r="A21" s="398">
        <v>13</v>
      </c>
      <c r="B21" s="399" t="s">
        <v>33</v>
      </c>
      <c r="C21" s="404">
        <v>3</v>
      </c>
      <c r="D21" s="423">
        <f>P21+P13</f>
        <v>185573</v>
      </c>
      <c r="E21" s="423">
        <f>S21+S13</f>
        <v>10868</v>
      </c>
      <c r="F21" s="423">
        <f t="shared" si="2"/>
        <v>196441</v>
      </c>
      <c r="G21" s="424"/>
      <c r="H21" s="424">
        <f t="shared" si="3"/>
        <v>196441</v>
      </c>
      <c r="I21" s="23">
        <f>12477822-'Anne-7'!S21</f>
        <v>12473281</v>
      </c>
      <c r="J21" s="425">
        <v>3929565</v>
      </c>
      <c r="K21" s="425"/>
      <c r="L21" s="425"/>
      <c r="M21" s="424">
        <f t="shared" si="4"/>
        <v>16402846</v>
      </c>
      <c r="N21" s="424">
        <f t="shared" si="5"/>
        <v>16599287</v>
      </c>
      <c r="O21" s="141">
        <f t="shared" si="6"/>
        <v>1.1834303485444886</v>
      </c>
      <c r="P21" s="405">
        <f t="shared" si="0"/>
        <v>78704</v>
      </c>
      <c r="Q21" s="497">
        <v>19881</v>
      </c>
      <c r="R21" s="401">
        <v>58823</v>
      </c>
      <c r="S21" s="184">
        <f t="shared" si="1"/>
        <v>4541</v>
      </c>
      <c r="T21" s="401">
        <v>4167</v>
      </c>
      <c r="U21" s="401">
        <v>374</v>
      </c>
      <c r="V21" s="402"/>
      <c r="W21" s="324">
        <v>87969</v>
      </c>
      <c r="X21" s="403"/>
      <c r="Z21" s="403"/>
      <c r="AA21" s="403"/>
      <c r="AB21" s="403"/>
    </row>
    <row r="22" spans="1:28" ht="15">
      <c r="A22" s="398">
        <v>14</v>
      </c>
      <c r="B22" s="399" t="s">
        <v>34</v>
      </c>
      <c r="C22" s="404">
        <v>3</v>
      </c>
      <c r="D22" s="423">
        <f>P22</f>
        <v>132564</v>
      </c>
      <c r="E22" s="423">
        <f>S22</f>
        <v>2874</v>
      </c>
      <c r="F22" s="423">
        <f t="shared" si="2"/>
        <v>135438</v>
      </c>
      <c r="G22" s="424"/>
      <c r="H22" s="424">
        <f t="shared" si="3"/>
        <v>135438</v>
      </c>
      <c r="I22" s="425">
        <v>7189914</v>
      </c>
      <c r="J22" s="425">
        <v>6074114</v>
      </c>
      <c r="K22" s="425"/>
      <c r="L22" s="425"/>
      <c r="M22" s="424">
        <f t="shared" si="4"/>
        <v>13264028</v>
      </c>
      <c r="N22" s="424">
        <f t="shared" si="5"/>
        <v>13399466</v>
      </c>
      <c r="O22" s="141">
        <f t="shared" si="6"/>
        <v>1.0107716232870771</v>
      </c>
      <c r="P22" s="405">
        <f t="shared" si="0"/>
        <v>132564</v>
      </c>
      <c r="Q22" s="497">
        <v>36579</v>
      </c>
      <c r="R22" s="401">
        <v>95985</v>
      </c>
      <c r="S22" s="184">
        <f t="shared" si="1"/>
        <v>2874</v>
      </c>
      <c r="T22" s="401">
        <v>2338</v>
      </c>
      <c r="U22" s="401">
        <v>536</v>
      </c>
      <c r="V22" s="402"/>
      <c r="W22" s="324">
        <v>140777</v>
      </c>
      <c r="X22" s="403"/>
      <c r="Z22" s="403"/>
      <c r="AA22" s="403"/>
      <c r="AB22" s="403"/>
    </row>
    <row r="23" spans="1:28" ht="15">
      <c r="A23" s="398">
        <v>15</v>
      </c>
      <c r="B23" s="399" t="s">
        <v>35</v>
      </c>
      <c r="C23" s="404">
        <v>1</v>
      </c>
      <c r="D23" s="423">
        <f>P23+P24</f>
        <v>147915</v>
      </c>
      <c r="E23" s="423">
        <f>S23+S24</f>
        <v>3235</v>
      </c>
      <c r="F23" s="423">
        <f t="shared" si="2"/>
        <v>151150</v>
      </c>
      <c r="G23" s="424"/>
      <c r="H23" s="424">
        <f t="shared" si="3"/>
        <v>151150</v>
      </c>
      <c r="I23" s="3"/>
      <c r="J23" s="425"/>
      <c r="K23" s="425"/>
      <c r="L23" s="425"/>
      <c r="M23" s="424">
        <f t="shared" si="4"/>
        <v>0</v>
      </c>
      <c r="N23" s="424">
        <f t="shared" si="5"/>
        <v>151150</v>
      </c>
      <c r="O23" s="141">
        <f t="shared" si="6"/>
        <v>100</v>
      </c>
      <c r="P23" s="405">
        <f t="shared" si="0"/>
        <v>67223</v>
      </c>
      <c r="Q23" s="497">
        <v>790</v>
      </c>
      <c r="R23" s="401">
        <v>66433</v>
      </c>
      <c r="S23" s="184">
        <f t="shared" si="1"/>
        <v>382</v>
      </c>
      <c r="T23" s="401">
        <v>44</v>
      </c>
      <c r="U23" s="401">
        <v>338</v>
      </c>
      <c r="V23" s="402"/>
      <c r="W23" s="324">
        <v>68355</v>
      </c>
      <c r="X23" s="403"/>
      <c r="Z23" s="403"/>
      <c r="AA23" s="403"/>
      <c r="AB23" s="403"/>
    </row>
    <row r="24" spans="1:28" ht="15">
      <c r="A24" s="398">
        <v>16</v>
      </c>
      <c r="B24" s="399" t="s">
        <v>36</v>
      </c>
      <c r="C24" s="404"/>
      <c r="D24" s="423"/>
      <c r="E24" s="423"/>
      <c r="F24" s="423"/>
      <c r="G24" s="424"/>
      <c r="H24" s="424"/>
      <c r="I24" s="3"/>
      <c r="J24" s="425"/>
      <c r="K24" s="425"/>
      <c r="L24" s="425"/>
      <c r="M24" s="424"/>
      <c r="N24" s="424"/>
      <c r="O24" s="141"/>
      <c r="P24" s="405">
        <f t="shared" si="0"/>
        <v>80692</v>
      </c>
      <c r="Q24" s="497">
        <v>35501</v>
      </c>
      <c r="R24" s="401">
        <v>45191</v>
      </c>
      <c r="S24" s="184">
        <f aca="true" t="shared" si="7" ref="S24:S34">T24+U24</f>
        <v>2853</v>
      </c>
      <c r="T24" s="401">
        <v>2513</v>
      </c>
      <c r="U24" s="401">
        <v>340</v>
      </c>
      <c r="V24" s="402"/>
      <c r="W24" s="324">
        <v>82857</v>
      </c>
      <c r="X24" s="403"/>
      <c r="Z24" s="403"/>
      <c r="AA24" s="403"/>
      <c r="AB24" s="403"/>
    </row>
    <row r="25" spans="1:28" ht="15">
      <c r="A25" s="398">
        <v>17</v>
      </c>
      <c r="B25" s="399" t="s">
        <v>37</v>
      </c>
      <c r="C25" s="404">
        <v>2</v>
      </c>
      <c r="D25" s="423">
        <f>P25</f>
        <v>61835</v>
      </c>
      <c r="E25" s="423">
        <f>S25</f>
        <v>0</v>
      </c>
      <c r="F25" s="423">
        <f t="shared" si="2"/>
        <v>61835</v>
      </c>
      <c r="G25" s="424"/>
      <c r="H25" s="424">
        <f t="shared" si="3"/>
        <v>61835</v>
      </c>
      <c r="I25" s="3"/>
      <c r="J25" s="425">
        <v>2043209</v>
      </c>
      <c r="K25" s="425"/>
      <c r="L25" s="425"/>
      <c r="M25" s="424">
        <f t="shared" si="4"/>
        <v>2043209</v>
      </c>
      <c r="N25" s="424">
        <f t="shared" si="5"/>
        <v>2105044</v>
      </c>
      <c r="O25" s="141">
        <f t="shared" si="6"/>
        <v>2.9374682904490355</v>
      </c>
      <c r="P25" s="405">
        <f t="shared" si="0"/>
        <v>61835</v>
      </c>
      <c r="Q25" s="497">
        <v>23369</v>
      </c>
      <c r="R25" s="401">
        <v>38466</v>
      </c>
      <c r="S25" s="184">
        <f t="shared" si="7"/>
        <v>0</v>
      </c>
      <c r="T25" s="401">
        <v>0</v>
      </c>
      <c r="U25" s="401">
        <v>0</v>
      </c>
      <c r="V25" s="402"/>
      <c r="W25" s="324">
        <v>63390</v>
      </c>
      <c r="X25" s="403"/>
      <c r="Z25" s="403"/>
      <c r="AA25" s="403"/>
      <c r="AB25" s="403"/>
    </row>
    <row r="26" spans="1:28" ht="15">
      <c r="A26" s="398">
        <v>18</v>
      </c>
      <c r="B26" s="399" t="s">
        <v>38</v>
      </c>
      <c r="C26" s="404">
        <v>4</v>
      </c>
      <c r="D26" s="423">
        <f>P26</f>
        <v>18995</v>
      </c>
      <c r="E26" s="423">
        <f>S26</f>
        <v>16912</v>
      </c>
      <c r="F26" s="423">
        <f t="shared" si="2"/>
        <v>35907</v>
      </c>
      <c r="G26" s="424"/>
      <c r="H26" s="424">
        <f t="shared" si="3"/>
        <v>35907</v>
      </c>
      <c r="I26" s="425">
        <v>3070724</v>
      </c>
      <c r="J26" s="425">
        <v>2449104</v>
      </c>
      <c r="K26" s="425">
        <v>1727255</v>
      </c>
      <c r="L26" s="425"/>
      <c r="M26" s="424">
        <f t="shared" si="4"/>
        <v>7247083</v>
      </c>
      <c r="N26" s="424">
        <f t="shared" si="5"/>
        <v>7282990</v>
      </c>
      <c r="O26" s="141">
        <f t="shared" si="6"/>
        <v>0.4930255293498961</v>
      </c>
      <c r="P26" s="405">
        <f t="shared" si="0"/>
        <v>18995</v>
      </c>
      <c r="Q26" s="497">
        <v>3711</v>
      </c>
      <c r="R26" s="401">
        <v>15284</v>
      </c>
      <c r="S26" s="184">
        <f t="shared" si="7"/>
        <v>16912</v>
      </c>
      <c r="T26" s="407">
        <v>12563</v>
      </c>
      <c r="U26" s="401">
        <v>4349</v>
      </c>
      <c r="V26" s="402"/>
      <c r="W26" s="324">
        <v>37377</v>
      </c>
      <c r="X26" s="403"/>
      <c r="Z26" s="403"/>
      <c r="AA26" s="403"/>
      <c r="AB26" s="403"/>
    </row>
    <row r="27" spans="1:28" ht="15">
      <c r="A27" s="398">
        <v>19</v>
      </c>
      <c r="B27" s="399" t="s">
        <v>39</v>
      </c>
      <c r="C27" s="404">
        <v>4</v>
      </c>
      <c r="D27" s="423">
        <f>P27</f>
        <v>162690</v>
      </c>
      <c r="E27" s="423">
        <f>S27</f>
        <v>8407</v>
      </c>
      <c r="F27" s="423">
        <f t="shared" si="2"/>
        <v>171097</v>
      </c>
      <c r="G27" s="424"/>
      <c r="H27" s="424">
        <f t="shared" si="3"/>
        <v>171097</v>
      </c>
      <c r="I27" s="425">
        <v>5897406</v>
      </c>
      <c r="J27" s="425">
        <v>2423876</v>
      </c>
      <c r="K27" s="425"/>
      <c r="L27" s="425">
        <v>2178127</v>
      </c>
      <c r="M27" s="424">
        <f t="shared" si="4"/>
        <v>10499409</v>
      </c>
      <c r="N27" s="424">
        <f t="shared" si="5"/>
        <v>10670506</v>
      </c>
      <c r="O27" s="141">
        <f t="shared" si="6"/>
        <v>1.6034572306130563</v>
      </c>
      <c r="P27" s="405">
        <f t="shared" si="0"/>
        <v>162690</v>
      </c>
      <c r="Q27" s="497">
        <v>24248</v>
      </c>
      <c r="R27" s="401">
        <v>138442</v>
      </c>
      <c r="S27" s="184">
        <f t="shared" si="7"/>
        <v>8407</v>
      </c>
      <c r="T27" s="401">
        <v>6972</v>
      </c>
      <c r="U27" s="401">
        <v>1435</v>
      </c>
      <c r="V27" s="402"/>
      <c r="W27" s="324">
        <v>173898</v>
      </c>
      <c r="X27" s="403"/>
      <c r="Z27" s="403"/>
      <c r="AA27" s="403"/>
      <c r="AB27" s="403"/>
    </row>
    <row r="28" spans="1:28" ht="15">
      <c r="A28" s="398">
        <v>20</v>
      </c>
      <c r="B28" s="399" t="s">
        <v>40</v>
      </c>
      <c r="C28" s="404">
        <v>4</v>
      </c>
      <c r="D28" s="423">
        <f>P28</f>
        <v>82885</v>
      </c>
      <c r="E28" s="423">
        <f>S28</f>
        <v>5893</v>
      </c>
      <c r="F28" s="423">
        <f t="shared" si="2"/>
        <v>88778</v>
      </c>
      <c r="G28" s="424"/>
      <c r="H28" s="424">
        <f t="shared" si="3"/>
        <v>88778</v>
      </c>
      <c r="I28" s="425">
        <v>5408760</v>
      </c>
      <c r="J28" s="425">
        <v>3849186</v>
      </c>
      <c r="K28" s="425"/>
      <c r="L28" s="425">
        <v>1085246</v>
      </c>
      <c r="M28" s="424">
        <f t="shared" si="4"/>
        <v>10343192</v>
      </c>
      <c r="N28" s="424">
        <f t="shared" si="5"/>
        <v>10431970</v>
      </c>
      <c r="O28" s="141">
        <f t="shared" si="6"/>
        <v>0.851018551625436</v>
      </c>
      <c r="P28" s="405">
        <f t="shared" si="0"/>
        <v>82885</v>
      </c>
      <c r="Q28" s="497">
        <v>3149</v>
      </c>
      <c r="R28" s="401">
        <v>79736</v>
      </c>
      <c r="S28" s="184">
        <f t="shared" si="7"/>
        <v>5893</v>
      </c>
      <c r="T28" s="401">
        <v>4618</v>
      </c>
      <c r="U28" s="401">
        <v>1275</v>
      </c>
      <c r="V28" s="402"/>
      <c r="W28" s="324">
        <v>95686</v>
      </c>
      <c r="X28" s="403"/>
      <c r="Z28" s="403"/>
      <c r="AA28" s="403"/>
      <c r="AB28" s="403"/>
    </row>
    <row r="29" spans="1:28" ht="15">
      <c r="A29" s="398">
        <v>21</v>
      </c>
      <c r="B29" s="399" t="s">
        <v>41</v>
      </c>
      <c r="C29" s="404"/>
      <c r="D29" s="423"/>
      <c r="E29" s="423"/>
      <c r="F29" s="423"/>
      <c r="G29" s="424"/>
      <c r="H29" s="424"/>
      <c r="I29" s="3"/>
      <c r="J29" s="425"/>
      <c r="K29" s="425"/>
      <c r="L29" s="425"/>
      <c r="M29" s="424"/>
      <c r="N29" s="424"/>
      <c r="O29" s="141"/>
      <c r="P29" s="405">
        <f t="shared" si="0"/>
        <v>41247</v>
      </c>
      <c r="Q29" s="497">
        <v>241</v>
      </c>
      <c r="R29" s="401">
        <v>41006</v>
      </c>
      <c r="S29" s="184">
        <f t="shared" si="7"/>
        <v>996</v>
      </c>
      <c r="T29" s="407">
        <v>249</v>
      </c>
      <c r="U29" s="401">
        <v>747</v>
      </c>
      <c r="V29" s="402"/>
      <c r="W29" s="324">
        <v>42900</v>
      </c>
      <c r="X29" s="403"/>
      <c r="Z29" s="403"/>
      <c r="AA29" s="403"/>
      <c r="AB29" s="403"/>
    </row>
    <row r="30" spans="1:28" ht="15">
      <c r="A30" s="398">
        <v>22</v>
      </c>
      <c r="B30" s="399" t="s">
        <v>42</v>
      </c>
      <c r="C30" s="404">
        <v>3</v>
      </c>
      <c r="D30" s="423">
        <f>P30</f>
        <v>236374</v>
      </c>
      <c r="E30" s="423">
        <f>S30</f>
        <v>57694</v>
      </c>
      <c r="F30" s="423">
        <f t="shared" si="2"/>
        <v>294068</v>
      </c>
      <c r="G30" s="424"/>
      <c r="H30" s="424">
        <f t="shared" si="3"/>
        <v>294068</v>
      </c>
      <c r="I30" s="425">
        <v>8536047</v>
      </c>
      <c r="J30" s="425">
        <v>4272276</v>
      </c>
      <c r="K30" s="425"/>
      <c r="L30" s="425"/>
      <c r="M30" s="424">
        <f>I30+K30+J30+L30</f>
        <v>12808323</v>
      </c>
      <c r="N30" s="424">
        <f t="shared" si="5"/>
        <v>13102391</v>
      </c>
      <c r="O30" s="141">
        <f t="shared" si="6"/>
        <v>2.244384250172354</v>
      </c>
      <c r="P30" s="405">
        <f t="shared" si="0"/>
        <v>236374</v>
      </c>
      <c r="Q30" s="497">
        <v>28709</v>
      </c>
      <c r="R30" s="401">
        <v>207665</v>
      </c>
      <c r="S30" s="184">
        <f t="shared" si="7"/>
        <v>57694</v>
      </c>
      <c r="T30" s="408">
        <v>34600</v>
      </c>
      <c r="U30" s="401">
        <v>23094</v>
      </c>
      <c r="V30" s="402"/>
      <c r="W30" s="324">
        <v>403182</v>
      </c>
      <c r="X30" s="403"/>
      <c r="Z30" s="403"/>
      <c r="AA30" s="403"/>
      <c r="AB30" s="403"/>
    </row>
    <row r="31" spans="1:28" ht="15.75" customHeight="1">
      <c r="A31" s="398">
        <v>23</v>
      </c>
      <c r="B31" s="399" t="s">
        <v>43</v>
      </c>
      <c r="C31" s="404">
        <v>4</v>
      </c>
      <c r="D31" s="423">
        <f>P31+P29</f>
        <v>87570</v>
      </c>
      <c r="E31" s="423">
        <f>S31+S29</f>
        <v>3401</v>
      </c>
      <c r="F31" s="423">
        <f t="shared" si="2"/>
        <v>90971</v>
      </c>
      <c r="G31" s="424"/>
      <c r="H31" s="424">
        <f t="shared" si="3"/>
        <v>90971</v>
      </c>
      <c r="I31" s="425">
        <v>5927904</v>
      </c>
      <c r="J31" s="425">
        <v>3748747</v>
      </c>
      <c r="K31" s="425"/>
      <c r="L31" s="425">
        <v>318743</v>
      </c>
      <c r="M31" s="424">
        <f t="shared" si="4"/>
        <v>9995394</v>
      </c>
      <c r="N31" s="424">
        <f t="shared" si="5"/>
        <v>10086365</v>
      </c>
      <c r="O31" s="141">
        <f t="shared" si="6"/>
        <v>0.9019205630571567</v>
      </c>
      <c r="P31" s="405">
        <f t="shared" si="0"/>
        <v>46323</v>
      </c>
      <c r="Q31" s="497">
        <v>12632</v>
      </c>
      <c r="R31" s="401">
        <v>33691</v>
      </c>
      <c r="S31" s="184">
        <f t="shared" si="7"/>
        <v>2405</v>
      </c>
      <c r="T31" s="407">
        <v>822</v>
      </c>
      <c r="U31" s="401">
        <v>1583</v>
      </c>
      <c r="V31" s="402"/>
      <c r="W31" s="324">
        <v>48117</v>
      </c>
      <c r="X31" s="403"/>
      <c r="Z31" s="403"/>
      <c r="AA31" s="403"/>
      <c r="AB31" s="403"/>
    </row>
    <row r="32" spans="1:28" ht="15">
      <c r="A32" s="398">
        <v>24</v>
      </c>
      <c r="B32" s="399" t="s">
        <v>44</v>
      </c>
      <c r="C32" s="404">
        <v>3</v>
      </c>
      <c r="D32" s="423">
        <f>P32+P9</f>
        <v>61467</v>
      </c>
      <c r="E32" s="423">
        <f>S32+S9</f>
        <v>10441</v>
      </c>
      <c r="F32" s="423">
        <f t="shared" si="2"/>
        <v>71908</v>
      </c>
      <c r="G32" s="424"/>
      <c r="H32" s="424">
        <f t="shared" si="3"/>
        <v>71908</v>
      </c>
      <c r="I32" s="425"/>
      <c r="J32" s="425">
        <v>1521962</v>
      </c>
      <c r="K32" s="425"/>
      <c r="L32" s="425">
        <v>1791852</v>
      </c>
      <c r="M32" s="424">
        <f t="shared" si="4"/>
        <v>3313814</v>
      </c>
      <c r="N32" s="424">
        <f t="shared" si="5"/>
        <v>3385722</v>
      </c>
      <c r="O32" s="141">
        <f t="shared" si="6"/>
        <v>2.123860139727952</v>
      </c>
      <c r="P32" s="405">
        <f t="shared" si="0"/>
        <v>56432</v>
      </c>
      <c r="Q32" s="497">
        <v>-1797</v>
      </c>
      <c r="R32" s="401">
        <v>58229</v>
      </c>
      <c r="S32" s="184">
        <f t="shared" si="7"/>
        <v>3784</v>
      </c>
      <c r="T32" s="401">
        <v>2766</v>
      </c>
      <c r="U32" s="401">
        <v>1018</v>
      </c>
      <c r="V32" s="402"/>
      <c r="W32" s="324">
        <v>58048</v>
      </c>
      <c r="X32" s="403"/>
      <c r="Z32" s="403"/>
      <c r="AA32" s="403"/>
      <c r="AB32" s="403"/>
    </row>
    <row r="33" spans="1:28" ht="15">
      <c r="A33" s="398">
        <v>25</v>
      </c>
      <c r="B33" s="399" t="s">
        <v>45</v>
      </c>
      <c r="C33" s="404">
        <v>3</v>
      </c>
      <c r="D33" s="423">
        <f>P33</f>
        <v>19727</v>
      </c>
      <c r="E33" s="423">
        <f>S33</f>
        <v>2816</v>
      </c>
      <c r="F33" s="423">
        <f t="shared" si="2"/>
        <v>22543</v>
      </c>
      <c r="G33" s="424"/>
      <c r="H33" s="424">
        <f t="shared" si="3"/>
        <v>22543</v>
      </c>
      <c r="I33" s="425"/>
      <c r="J33" s="425">
        <v>2874101</v>
      </c>
      <c r="K33" s="425"/>
      <c r="L33" s="425">
        <v>764521</v>
      </c>
      <c r="M33" s="424">
        <f t="shared" si="4"/>
        <v>3638622</v>
      </c>
      <c r="N33" s="424">
        <f t="shared" si="5"/>
        <v>3661165</v>
      </c>
      <c r="O33" s="141">
        <f t="shared" si="6"/>
        <v>0.6157329702430783</v>
      </c>
      <c r="P33" s="405">
        <f t="shared" si="0"/>
        <v>19727</v>
      </c>
      <c r="Q33" s="497">
        <v>19727</v>
      </c>
      <c r="R33" s="401">
        <v>0</v>
      </c>
      <c r="S33" s="184">
        <f t="shared" si="7"/>
        <v>2816</v>
      </c>
      <c r="T33" s="401">
        <v>2816</v>
      </c>
      <c r="U33" s="401">
        <v>0</v>
      </c>
      <c r="V33" s="402"/>
      <c r="W33" s="324">
        <v>22671</v>
      </c>
      <c r="X33" s="403"/>
      <c r="Z33" s="403"/>
      <c r="AA33" s="403"/>
      <c r="AB33" s="403"/>
    </row>
    <row r="34" spans="1:28" ht="15">
      <c r="A34" s="398">
        <v>26</v>
      </c>
      <c r="B34" s="399" t="s">
        <v>46</v>
      </c>
      <c r="C34" s="404">
        <v>3</v>
      </c>
      <c r="D34" s="423">
        <f>P34</f>
        <v>12446</v>
      </c>
      <c r="E34" s="423">
        <f>S34</f>
        <v>1427</v>
      </c>
      <c r="F34" s="423">
        <f t="shared" si="2"/>
        <v>13873</v>
      </c>
      <c r="G34" s="424"/>
      <c r="H34" s="424">
        <f t="shared" si="3"/>
        <v>13873</v>
      </c>
      <c r="I34" s="425">
        <v>855798</v>
      </c>
      <c r="J34" s="425">
        <v>1454539</v>
      </c>
      <c r="K34" s="425"/>
      <c r="L34" s="425"/>
      <c r="M34" s="424">
        <f>I34+K34+J34+L34</f>
        <v>2310337</v>
      </c>
      <c r="N34" s="424">
        <f t="shared" si="5"/>
        <v>2324210</v>
      </c>
      <c r="O34" s="141">
        <f t="shared" si="6"/>
        <v>0.5968909866148068</v>
      </c>
      <c r="P34" s="405">
        <f t="shared" si="0"/>
        <v>12446</v>
      </c>
      <c r="Q34" s="497">
        <v>994</v>
      </c>
      <c r="R34" s="401">
        <v>11452</v>
      </c>
      <c r="S34" s="184">
        <f t="shared" si="7"/>
        <v>1427</v>
      </c>
      <c r="T34" s="401">
        <v>1427</v>
      </c>
      <c r="U34" s="401">
        <v>0</v>
      </c>
      <c r="V34" s="402"/>
      <c r="W34" s="324">
        <v>13828</v>
      </c>
      <c r="X34" s="403"/>
      <c r="Z34" s="403"/>
      <c r="AA34" s="403"/>
      <c r="AB34" s="403"/>
    </row>
    <row r="35" spans="1:28" ht="15.75">
      <c r="A35" s="398"/>
      <c r="B35" s="27" t="s">
        <v>47</v>
      </c>
      <c r="C35" s="398">
        <v>4</v>
      </c>
      <c r="D35" s="426">
        <f>SUM(D9:D34)</f>
        <v>2204206</v>
      </c>
      <c r="E35" s="426">
        <f>SUM(E9:E34)</f>
        <v>181148</v>
      </c>
      <c r="F35" s="426">
        <f>SUM(F9:F34)</f>
        <v>2385354</v>
      </c>
      <c r="G35" s="424">
        <f aca="true" t="shared" si="8" ref="G35:L35">SUM(G9:G34)</f>
        <v>0</v>
      </c>
      <c r="H35" s="424">
        <f t="shared" si="8"/>
        <v>2385354</v>
      </c>
      <c r="I35" s="425">
        <f t="shared" si="8"/>
        <v>78360183</v>
      </c>
      <c r="J35" s="425">
        <f t="shared" si="8"/>
        <v>57257024</v>
      </c>
      <c r="K35" s="425">
        <f t="shared" si="8"/>
        <v>1727255</v>
      </c>
      <c r="L35" s="425">
        <f t="shared" si="8"/>
        <v>8674586</v>
      </c>
      <c r="M35" s="424">
        <f>SUM(M9:M34)</f>
        <v>146019048</v>
      </c>
      <c r="N35" s="424">
        <f>SUM(N9:N34)</f>
        <v>148404402</v>
      </c>
      <c r="O35" s="141">
        <f t="shared" si="6"/>
        <v>1.6073337231600446</v>
      </c>
      <c r="P35" s="405">
        <f aca="true" t="shared" si="9" ref="P35:U35">SUM(P9:P34)</f>
        <v>2204206</v>
      </c>
      <c r="Q35" s="21">
        <f t="shared" si="9"/>
        <v>408976</v>
      </c>
      <c r="R35" s="21">
        <f t="shared" si="9"/>
        <v>1795230</v>
      </c>
      <c r="S35" s="184">
        <f t="shared" si="9"/>
        <v>181148</v>
      </c>
      <c r="T35" s="21">
        <f t="shared" si="9"/>
        <v>120211</v>
      </c>
      <c r="U35" s="184">
        <f t="shared" si="9"/>
        <v>60937</v>
      </c>
      <c r="V35" s="402"/>
      <c r="W35" s="324"/>
      <c r="Z35" s="403"/>
      <c r="AA35" s="403"/>
      <c r="AB35" s="403"/>
    </row>
    <row r="36" spans="1:28" ht="15">
      <c r="A36" s="185">
        <v>27</v>
      </c>
      <c r="B36" s="28" t="s">
        <v>48</v>
      </c>
      <c r="C36" s="185"/>
      <c r="D36" s="424"/>
      <c r="E36" s="424"/>
      <c r="F36" s="424"/>
      <c r="G36" s="424">
        <v>37612</v>
      </c>
      <c r="H36" s="424">
        <f t="shared" si="3"/>
        <v>37612</v>
      </c>
      <c r="I36" s="425">
        <v>7786352</v>
      </c>
      <c r="J36" s="425">
        <v>2869124</v>
      </c>
      <c r="K36" s="425"/>
      <c r="L36" s="425">
        <v>882224</v>
      </c>
      <c r="M36" s="424">
        <f>I36+K36+J36+L36</f>
        <v>11537700</v>
      </c>
      <c r="N36" s="424">
        <f t="shared" si="5"/>
        <v>11575312</v>
      </c>
      <c r="O36" s="431" t="s">
        <v>130</v>
      </c>
      <c r="AB36" s="403"/>
    </row>
    <row r="37" spans="1:28" ht="15">
      <c r="A37" s="185">
        <v>28</v>
      </c>
      <c r="B37" s="28" t="s">
        <v>49</v>
      </c>
      <c r="C37" s="185"/>
      <c r="D37" s="424"/>
      <c r="E37" s="424"/>
      <c r="F37" s="424"/>
      <c r="G37" s="424">
        <v>92434</v>
      </c>
      <c r="H37" s="424">
        <f t="shared" si="3"/>
        <v>92434</v>
      </c>
      <c r="I37" s="425">
        <v>5925983</v>
      </c>
      <c r="J37" s="425">
        <v>3420790</v>
      </c>
      <c r="K37" s="425"/>
      <c r="L37" s="425"/>
      <c r="M37" s="424">
        <f>I37+K37+J37+L37</f>
        <v>9346773</v>
      </c>
      <c r="N37" s="424">
        <f t="shared" si="5"/>
        <v>9439207</v>
      </c>
      <c r="O37" s="431" t="s">
        <v>130</v>
      </c>
      <c r="Q37" s="409"/>
      <c r="R37" s="409"/>
      <c r="S37" s="403"/>
      <c r="T37" s="403"/>
      <c r="U37" s="403"/>
      <c r="Z37" s="403"/>
      <c r="AB37" s="403"/>
    </row>
    <row r="38" spans="1:28" ht="15">
      <c r="A38" s="185"/>
      <c r="B38" s="28" t="s">
        <v>50</v>
      </c>
      <c r="C38" s="185">
        <v>4</v>
      </c>
      <c r="D38" s="424">
        <f aca="true" t="shared" si="10" ref="D38:J38">SUM(D35:D37)</f>
        <v>2204206</v>
      </c>
      <c r="E38" s="424">
        <f t="shared" si="10"/>
        <v>181148</v>
      </c>
      <c r="F38" s="424">
        <f t="shared" si="10"/>
        <v>2385354</v>
      </c>
      <c r="G38" s="424">
        <f t="shared" si="10"/>
        <v>130046</v>
      </c>
      <c r="H38" s="424">
        <f t="shared" si="10"/>
        <v>2515400</v>
      </c>
      <c r="I38" s="425">
        <f t="shared" si="10"/>
        <v>92072518</v>
      </c>
      <c r="J38" s="425">
        <f t="shared" si="10"/>
        <v>63546938</v>
      </c>
      <c r="K38" s="425">
        <f>SUM(K35:K37)</f>
        <v>1727255</v>
      </c>
      <c r="L38" s="425">
        <f>SUM(L35:L37)</f>
        <v>9556810</v>
      </c>
      <c r="M38" s="424">
        <f>SUM(M35:M37)</f>
        <v>166903521</v>
      </c>
      <c r="N38" s="424">
        <f>SUM(N35:N37)</f>
        <v>169418921</v>
      </c>
      <c r="O38" s="141">
        <f>F38/N38*100</f>
        <v>1.4079619831836845</v>
      </c>
      <c r="Q38" s="409"/>
      <c r="S38" s="403"/>
      <c r="T38" s="403"/>
      <c r="U38" s="403"/>
      <c r="Z38" s="403"/>
      <c r="AA38" s="403"/>
      <c r="AB38" s="403"/>
    </row>
    <row r="39" spans="1:28" ht="15">
      <c r="A39" s="28" t="s">
        <v>51</v>
      </c>
      <c r="B39" s="410"/>
      <c r="C39" s="411"/>
      <c r="D39" s="427">
        <f>D38/$N$38*100</f>
        <v>1.3010388609428105</v>
      </c>
      <c r="E39" s="427">
        <f aca="true" t="shared" si="11" ref="E39:N39">E38/$N$38*100</f>
        <v>0.10692312224087415</v>
      </c>
      <c r="F39" s="427">
        <f t="shared" si="11"/>
        <v>1.4079619831836845</v>
      </c>
      <c r="G39" s="427">
        <f t="shared" si="11"/>
        <v>0.07676002139099919</v>
      </c>
      <c r="H39" s="427">
        <f t="shared" si="11"/>
        <v>1.4847220045746838</v>
      </c>
      <c r="I39" s="427">
        <f t="shared" si="11"/>
        <v>54.3460656321852</v>
      </c>
      <c r="J39" s="427">
        <f t="shared" si="11"/>
        <v>37.50876090162326</v>
      </c>
      <c r="K39" s="427">
        <f t="shared" si="11"/>
        <v>1.0195171765968216</v>
      </c>
      <c r="L39" s="427">
        <f t="shared" si="11"/>
        <v>5.64093428502003</v>
      </c>
      <c r="M39" s="427">
        <f t="shared" si="11"/>
        <v>98.51527799542532</v>
      </c>
      <c r="N39" s="427">
        <f t="shared" si="11"/>
        <v>100</v>
      </c>
      <c r="O39" s="412"/>
      <c r="Z39" s="403"/>
      <c r="AA39" s="403"/>
      <c r="AB39" s="403"/>
    </row>
    <row r="40" spans="1:17" ht="15">
      <c r="A40" s="162"/>
      <c r="B40" s="413"/>
      <c r="C40" s="414"/>
      <c r="D40" s="428"/>
      <c r="E40" s="428"/>
      <c r="F40" s="428"/>
      <c r="G40" s="428"/>
      <c r="H40" s="428"/>
      <c r="I40" s="429"/>
      <c r="J40" s="428"/>
      <c r="K40" s="428"/>
      <c r="L40" s="428"/>
      <c r="M40" s="428"/>
      <c r="N40" s="428"/>
      <c r="O40" s="415"/>
      <c r="Q40" s="403"/>
    </row>
    <row r="41" spans="1:15" ht="15">
      <c r="A41" s="28" t="str">
        <f>'Anne-6'!A42</f>
        <v>Conn. As on 31.08.2013</v>
      </c>
      <c r="B41" s="410"/>
      <c r="C41" s="411">
        <v>4</v>
      </c>
      <c r="D41" s="430">
        <v>2289113</v>
      </c>
      <c r="E41" s="424">
        <v>183328</v>
      </c>
      <c r="F41" s="424">
        <v>2472441</v>
      </c>
      <c r="G41" s="430">
        <v>177960</v>
      </c>
      <c r="H41" s="424">
        <v>2650401</v>
      </c>
      <c r="I41" s="425">
        <v>90815015</v>
      </c>
      <c r="J41" s="430">
        <v>63690505</v>
      </c>
      <c r="K41" s="430">
        <v>1608525</v>
      </c>
      <c r="L41" s="430">
        <v>9569500</v>
      </c>
      <c r="M41" s="430">
        <v>165683545</v>
      </c>
      <c r="N41" s="424">
        <v>168333946</v>
      </c>
      <c r="O41" s="151">
        <f>F41/N41*100</f>
        <v>1.4687714859366512</v>
      </c>
    </row>
    <row r="42" spans="1:15" ht="15">
      <c r="A42" s="28" t="str">
        <f>'Anne-6'!A43</f>
        <v>Addition during September 2013</v>
      </c>
      <c r="B42" s="416"/>
      <c r="C42" s="417">
        <v>5</v>
      </c>
      <c r="D42" s="430">
        <f>D38-D41</f>
        <v>-84907</v>
      </c>
      <c r="E42" s="430">
        <f>E38-E41</f>
        <v>-2180</v>
      </c>
      <c r="F42" s="430">
        <f>F38-F41</f>
        <v>-87087</v>
      </c>
      <c r="G42" s="548">
        <f>G38-G41</f>
        <v>-47914</v>
      </c>
      <c r="H42" s="430">
        <f>H38-H41</f>
        <v>-135001</v>
      </c>
      <c r="I42" s="430">
        <f aca="true" t="shared" si="12" ref="I42:N42">I38-I41</f>
        <v>1257503</v>
      </c>
      <c r="J42" s="430">
        <f t="shared" si="12"/>
        <v>-143567</v>
      </c>
      <c r="K42" s="430">
        <f t="shared" si="12"/>
        <v>118730</v>
      </c>
      <c r="L42" s="430">
        <f t="shared" si="12"/>
        <v>-12690</v>
      </c>
      <c r="M42" s="430">
        <f>M38-M41</f>
        <v>1219976</v>
      </c>
      <c r="N42" s="430">
        <f t="shared" si="12"/>
        <v>1084975</v>
      </c>
      <c r="O42" s="472" t="s">
        <v>130</v>
      </c>
    </row>
    <row r="43" spans="1:15" ht="15">
      <c r="A43" s="28" t="str">
        <f>'Anne-6'!A44</f>
        <v>Conn. As on 31.03.2013</v>
      </c>
      <c r="B43" s="416"/>
      <c r="C43" s="417">
        <v>4</v>
      </c>
      <c r="D43" s="424">
        <v>2535881</v>
      </c>
      <c r="E43" s="424">
        <v>165932</v>
      </c>
      <c r="F43" s="424">
        <v>2701813</v>
      </c>
      <c r="G43" s="424">
        <v>180883</v>
      </c>
      <c r="H43" s="424">
        <v>2882696</v>
      </c>
      <c r="I43" s="425">
        <v>88315700</v>
      </c>
      <c r="J43" s="425">
        <v>66416138</v>
      </c>
      <c r="K43" s="425">
        <v>1367658</v>
      </c>
      <c r="L43" s="425">
        <v>11912010</v>
      </c>
      <c r="M43" s="430">
        <v>168011506</v>
      </c>
      <c r="N43" s="424">
        <v>170894202</v>
      </c>
      <c r="O43" s="151">
        <f>F43/N43*100</f>
        <v>1.580985761003173</v>
      </c>
    </row>
    <row r="44" spans="1:15" ht="15">
      <c r="A44" s="28" t="str">
        <f>'Anne-6'!A45</f>
        <v>Addition during 2013-14</v>
      </c>
      <c r="B44" s="418"/>
      <c r="C44" s="419">
        <v>4</v>
      </c>
      <c r="D44" s="430">
        <f>D38-D43</f>
        <v>-331675</v>
      </c>
      <c r="E44" s="430">
        <f>E38-E43</f>
        <v>15216</v>
      </c>
      <c r="F44" s="430">
        <f>F38-F43</f>
        <v>-316459</v>
      </c>
      <c r="G44" s="430">
        <f>G38-G43</f>
        <v>-50837</v>
      </c>
      <c r="H44" s="430">
        <f aca="true" t="shared" si="13" ref="H44:M44">H38-H43</f>
        <v>-367296</v>
      </c>
      <c r="I44" s="430">
        <f t="shared" si="13"/>
        <v>3756818</v>
      </c>
      <c r="J44" s="430">
        <f t="shared" si="13"/>
        <v>-2869200</v>
      </c>
      <c r="K44" s="430">
        <f t="shared" si="13"/>
        <v>359597</v>
      </c>
      <c r="L44" s="430">
        <f t="shared" si="13"/>
        <v>-2355200</v>
      </c>
      <c r="M44" s="430">
        <f t="shared" si="13"/>
        <v>-1107985</v>
      </c>
      <c r="N44" s="430">
        <f>N38-N43</f>
        <v>-1475281</v>
      </c>
      <c r="O44" s="472" t="s">
        <v>130</v>
      </c>
    </row>
    <row r="45" spans="2:15" ht="15">
      <c r="B45" s="34"/>
      <c r="C45" s="34"/>
      <c r="I45" s="420"/>
      <c r="M45" s="74"/>
      <c r="O45" s="74"/>
    </row>
    <row r="46" spans="2:7" ht="15">
      <c r="B46" s="34"/>
      <c r="C46" s="34"/>
      <c r="D46" s="403"/>
      <c r="E46" s="403"/>
      <c r="F46" s="403"/>
      <c r="G46" s="403"/>
    </row>
    <row r="47" spans="2:9" ht="15">
      <c r="B47" s="34"/>
      <c r="C47" s="34"/>
      <c r="D47" s="403"/>
      <c r="E47" s="403"/>
      <c r="F47" s="403"/>
      <c r="I47" s="421"/>
    </row>
    <row r="48" spans="2:16" ht="15.75">
      <c r="B48" s="34"/>
      <c r="C48" s="34"/>
      <c r="D48" s="403"/>
      <c r="E48" s="403"/>
      <c r="F48" s="403"/>
      <c r="M48" s="403"/>
      <c r="P48" s="29"/>
    </row>
    <row r="49" spans="2:10" ht="15">
      <c r="B49" s="34"/>
      <c r="C49" s="34"/>
      <c r="D49" s="403"/>
      <c r="E49" s="403"/>
      <c r="F49" s="403"/>
      <c r="G49" s="403"/>
      <c r="I49" s="421"/>
      <c r="J49" s="2"/>
    </row>
    <row r="50" ht="15">
      <c r="I50" s="421"/>
    </row>
    <row r="52" spans="11:12" ht="15">
      <c r="K52" s="101"/>
      <c r="L52" s="101"/>
    </row>
    <row r="53" spans="11:12" ht="15">
      <c r="K53" s="101"/>
      <c r="L53" s="32"/>
    </row>
    <row r="54" spans="11:12" ht="15">
      <c r="K54" s="101"/>
      <c r="L54" s="101"/>
    </row>
    <row r="55" spans="11:12" ht="15">
      <c r="K55" s="101"/>
      <c r="L55" s="101"/>
    </row>
    <row r="56" spans="11:12" ht="15">
      <c r="K56" s="101"/>
      <c r="L56" s="101"/>
    </row>
    <row r="57" spans="11:12" ht="15">
      <c r="K57" s="101"/>
      <c r="L57" s="101"/>
    </row>
    <row r="58" spans="11:12" ht="15">
      <c r="K58" s="101"/>
      <c r="L58" s="101"/>
    </row>
    <row r="59" spans="11:12" ht="15">
      <c r="K59" s="101"/>
      <c r="L59" s="101"/>
    </row>
    <row r="60" spans="11:12" ht="15">
      <c r="K60" s="101"/>
      <c r="L60" s="101"/>
    </row>
    <row r="61" spans="11:12" ht="15">
      <c r="K61" s="101"/>
      <c r="L61" s="101"/>
    </row>
    <row r="62" spans="11:12" ht="15">
      <c r="K62" s="101"/>
      <c r="L62" s="101"/>
    </row>
    <row r="63" spans="11:12" ht="15">
      <c r="K63" s="101"/>
      <c r="L63" s="101"/>
    </row>
    <row r="64" spans="11:12" ht="15">
      <c r="K64" s="101"/>
      <c r="L64" s="101"/>
    </row>
    <row r="65" spans="11:12" ht="15">
      <c r="K65" s="101"/>
      <c r="L65" s="101"/>
    </row>
    <row r="66" spans="11:12" ht="15">
      <c r="K66" s="101"/>
      <c r="L66" s="101"/>
    </row>
    <row r="67" spans="11:12" ht="15">
      <c r="K67" s="101"/>
      <c r="L67" s="101"/>
    </row>
    <row r="68" spans="11:12" ht="15">
      <c r="K68" s="101"/>
      <c r="L68" s="101"/>
    </row>
    <row r="69" spans="11:12" ht="15">
      <c r="K69" s="101"/>
      <c r="L69" s="101"/>
    </row>
    <row r="70" spans="11:12" ht="15">
      <c r="K70" s="101"/>
      <c r="L70" s="101"/>
    </row>
    <row r="71" spans="11:12" ht="15">
      <c r="K71" s="101"/>
      <c r="L71" s="101"/>
    </row>
    <row r="72" spans="11:12" ht="15">
      <c r="K72" s="101"/>
      <c r="L72" s="101"/>
    </row>
    <row r="73" spans="11:12" ht="15">
      <c r="K73" s="101"/>
      <c r="L73" s="101"/>
    </row>
    <row r="74" spans="11:12" ht="15">
      <c r="K74" s="101"/>
      <c r="L74" s="101"/>
    </row>
    <row r="75" spans="11:12" ht="15">
      <c r="K75" s="101"/>
      <c r="L75" s="101"/>
    </row>
    <row r="76" spans="11:12" ht="15">
      <c r="K76" s="101"/>
      <c r="L76" s="101"/>
    </row>
    <row r="77" spans="11:12" ht="15">
      <c r="K77" s="101"/>
      <c r="L77" s="101"/>
    </row>
    <row r="78" spans="11:12" ht="15">
      <c r="K78" s="101"/>
      <c r="L78" s="101"/>
    </row>
    <row r="79" spans="11:12" ht="15">
      <c r="K79" s="101"/>
      <c r="L79" s="101"/>
    </row>
    <row r="80" spans="11:12" ht="15">
      <c r="K80" s="101"/>
      <c r="L80" s="101"/>
    </row>
  </sheetData>
  <sheetProtection/>
  <mergeCells count="18">
    <mergeCell ref="I7:I8"/>
    <mergeCell ref="P6:U6"/>
    <mergeCell ref="P7:R7"/>
    <mergeCell ref="S7:U7"/>
    <mergeCell ref="N6:N8"/>
    <mergeCell ref="O6:O8"/>
    <mergeCell ref="M7:M8"/>
    <mergeCell ref="K7:K8"/>
    <mergeCell ref="A6:A8"/>
    <mergeCell ref="B6:B8"/>
    <mergeCell ref="C6:C8"/>
    <mergeCell ref="H7:H8"/>
    <mergeCell ref="D6:H6"/>
    <mergeCell ref="I6:M6"/>
    <mergeCell ref="D7:F7"/>
    <mergeCell ref="G7:G8"/>
    <mergeCell ref="L7:L8"/>
    <mergeCell ref="J7:J8"/>
  </mergeCells>
  <conditionalFormatting sqref="O10:O34">
    <cfRule type="top10" priority="1" dxfId="1" stopIfTrue="1" rank="3" bottom="1"/>
    <cfRule type="top10" priority="2" dxfId="0" stopIfTrue="1" rank="3"/>
  </conditionalFormatting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SheetLayoutView="44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" sqref="F3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7" customWidth="1"/>
    <col min="8" max="8" width="10.28125" style="2" customWidth="1"/>
    <col min="9" max="9" width="10.57421875" style="2" customWidth="1"/>
    <col min="10" max="10" width="11.8515625" style="2" customWidth="1"/>
    <col min="11" max="11" width="10.140625" style="2" customWidth="1"/>
    <col min="12" max="12" width="10.8515625" style="2" customWidth="1"/>
    <col min="13" max="13" width="8.28125" style="2" customWidth="1"/>
    <col min="14" max="14" width="11.28125" style="2" customWidth="1"/>
    <col min="15" max="15" width="11.57421875" style="2" customWidth="1"/>
    <col min="16" max="16" width="11.00390625" style="2" customWidth="1"/>
    <col min="17" max="18" width="11.8515625" style="2" bestFit="1" customWidth="1"/>
    <col min="19" max="19" width="10.140625" style="2" bestFit="1" customWidth="1"/>
    <col min="20" max="20" width="13.28125" style="2" customWidth="1"/>
    <col min="21" max="21" width="14.7109375" style="2" customWidth="1"/>
    <col min="22" max="16384" width="9.140625" style="2" customWidth="1"/>
  </cols>
  <sheetData>
    <row r="1" ht="15">
      <c r="O1" s="76" t="s">
        <v>156</v>
      </c>
    </row>
    <row r="2" ht="14.25">
      <c r="B2" s="2" t="str">
        <f>'Anne-7'!B2</f>
        <v>No. 1-2(1)/Market Share/2013-CP&amp;M </v>
      </c>
    </row>
    <row r="3" ht="9" customHeight="1"/>
    <row r="4" spans="2:3" ht="15.75">
      <c r="B4" s="29" t="s">
        <v>271</v>
      </c>
      <c r="C4" s="29"/>
    </row>
    <row r="5" spans="4:14" ht="15">
      <c r="D5" s="90">
        <v>1</v>
      </c>
      <c r="E5" s="90">
        <v>2</v>
      </c>
      <c r="F5" s="90"/>
      <c r="G5" s="98">
        <v>3</v>
      </c>
      <c r="H5" s="90">
        <v>3</v>
      </c>
      <c r="I5" s="90">
        <v>4</v>
      </c>
      <c r="J5" s="90">
        <v>5</v>
      </c>
      <c r="K5" s="90">
        <v>6</v>
      </c>
      <c r="L5" s="90">
        <v>7</v>
      </c>
      <c r="M5" s="90">
        <v>8</v>
      </c>
      <c r="N5" s="54"/>
    </row>
    <row r="6" spans="1:19" ht="14.25">
      <c r="A6" s="563" t="s">
        <v>19</v>
      </c>
      <c r="B6" s="563" t="s">
        <v>20</v>
      </c>
      <c r="C6" s="17" t="s">
        <v>18</v>
      </c>
      <c r="D6" s="111"/>
      <c r="E6" s="18"/>
      <c r="F6" s="18"/>
      <c r="G6" s="99"/>
      <c r="H6" s="18"/>
      <c r="I6" s="18"/>
      <c r="J6" s="18"/>
      <c r="K6" s="18"/>
      <c r="L6" s="18"/>
      <c r="M6" s="18"/>
      <c r="N6" s="18"/>
      <c r="O6" s="19"/>
      <c r="P6" s="659" t="s">
        <v>120</v>
      </c>
      <c r="Q6" s="662" t="s">
        <v>1</v>
      </c>
      <c r="R6" s="662"/>
      <c r="S6" s="662"/>
    </row>
    <row r="7" spans="1:19" ht="12.75" customHeight="1">
      <c r="A7" s="563"/>
      <c r="B7" s="563"/>
      <c r="C7" s="676" t="s">
        <v>118</v>
      </c>
      <c r="D7" s="655" t="s">
        <v>96</v>
      </c>
      <c r="E7" s="675" t="s">
        <v>2</v>
      </c>
      <c r="F7" s="658" t="s">
        <v>52</v>
      </c>
      <c r="G7" s="672" t="s">
        <v>17</v>
      </c>
      <c r="H7" s="640" t="s">
        <v>123</v>
      </c>
      <c r="I7" s="673" t="s">
        <v>15</v>
      </c>
      <c r="J7" s="673" t="s">
        <v>16</v>
      </c>
      <c r="K7" s="678" t="s">
        <v>202</v>
      </c>
      <c r="L7" s="678" t="s">
        <v>203</v>
      </c>
      <c r="M7" s="678" t="s">
        <v>219</v>
      </c>
      <c r="N7" s="679" t="s">
        <v>53</v>
      </c>
      <c r="O7" s="564" t="s">
        <v>57</v>
      </c>
      <c r="P7" s="660"/>
      <c r="Q7" s="662"/>
      <c r="R7" s="662"/>
      <c r="S7" s="662"/>
    </row>
    <row r="8" spans="1:19" ht="48" customHeight="1">
      <c r="A8" s="563"/>
      <c r="B8" s="563"/>
      <c r="C8" s="632"/>
      <c r="D8" s="674"/>
      <c r="E8" s="564"/>
      <c r="F8" s="655"/>
      <c r="G8" s="673"/>
      <c r="H8" s="642"/>
      <c r="I8" s="677"/>
      <c r="J8" s="677"/>
      <c r="K8" s="677"/>
      <c r="L8" s="677"/>
      <c r="M8" s="677"/>
      <c r="N8" s="679"/>
      <c r="O8" s="564"/>
      <c r="P8" s="661"/>
      <c r="Q8" s="52" t="s">
        <v>47</v>
      </c>
      <c r="R8" s="45" t="s">
        <v>87</v>
      </c>
      <c r="S8" s="468" t="s">
        <v>88</v>
      </c>
    </row>
    <row r="9" spans="1:26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0"/>
      <c r="H9" s="8"/>
      <c r="I9" s="8"/>
      <c r="J9" s="8"/>
      <c r="K9" s="8"/>
      <c r="L9" s="8"/>
      <c r="M9" s="8"/>
      <c r="N9" s="16"/>
      <c r="O9" s="8">
        <f aca="true" t="shared" si="0" ref="O9:O37">N9+F9</f>
        <v>0</v>
      </c>
      <c r="P9" s="8"/>
      <c r="Q9" s="8">
        <f>R9+S9</f>
        <v>14210</v>
      </c>
      <c r="R9" s="336">
        <v>8248</v>
      </c>
      <c r="S9" s="336">
        <v>5962</v>
      </c>
      <c r="U9" s="2">
        <v>14149</v>
      </c>
      <c r="Z9" s="2">
        <v>85.60482966824058</v>
      </c>
    </row>
    <row r="10" spans="1:26" ht="14.25">
      <c r="A10" s="5">
        <v>2</v>
      </c>
      <c r="B10" s="6" t="s">
        <v>22</v>
      </c>
      <c r="C10" s="85">
        <v>1</v>
      </c>
      <c r="D10" s="8">
        <f>Q10</f>
        <v>1751010</v>
      </c>
      <c r="E10" s="8"/>
      <c r="F10" s="8">
        <f aca="true" t="shared" si="1" ref="F10:F37">SUM(D10:E10)</f>
        <v>1751010</v>
      </c>
      <c r="G10" s="70">
        <v>125802</v>
      </c>
      <c r="H10" s="70">
        <f>G10</f>
        <v>125802</v>
      </c>
      <c r="I10" s="70">
        <v>88593</v>
      </c>
      <c r="J10" s="70">
        <v>165416</v>
      </c>
      <c r="K10" s="8"/>
      <c r="L10" s="8"/>
      <c r="M10" s="8">
        <v>5850</v>
      </c>
      <c r="N10" s="8">
        <f>M10+L10+J10+I10+K10+H10</f>
        <v>385661</v>
      </c>
      <c r="O10" s="8">
        <f t="shared" si="0"/>
        <v>2136671</v>
      </c>
      <c r="P10" s="138">
        <f>D10/O10*100</f>
        <v>81.95037981982252</v>
      </c>
      <c r="Q10" s="8">
        <f aca="true" t="shared" si="2" ref="Q10:Q34">R10+S10</f>
        <v>1751010</v>
      </c>
      <c r="R10" s="336">
        <v>1173162</v>
      </c>
      <c r="S10" s="336">
        <v>577848</v>
      </c>
      <c r="U10" s="2">
        <v>1780858</v>
      </c>
      <c r="Z10" s="2">
        <v>99.80086852457846</v>
      </c>
    </row>
    <row r="11" spans="1:26" ht="14.25">
      <c r="A11" s="5">
        <v>3</v>
      </c>
      <c r="B11" s="6" t="s">
        <v>23</v>
      </c>
      <c r="C11" s="85">
        <v>1</v>
      </c>
      <c r="D11" s="8">
        <f>Q11</f>
        <v>191564</v>
      </c>
      <c r="E11" s="8"/>
      <c r="F11" s="8">
        <f t="shared" si="1"/>
        <v>191564</v>
      </c>
      <c r="G11" s="70"/>
      <c r="H11" s="70"/>
      <c r="I11" s="70"/>
      <c r="J11" s="70"/>
      <c r="K11" s="8"/>
      <c r="L11" s="8"/>
      <c r="M11" s="8">
        <v>660</v>
      </c>
      <c r="N11" s="8">
        <f aca="true" t="shared" si="3" ref="N11:N37">M11+L11+J11+I11+K11+H11</f>
        <v>660</v>
      </c>
      <c r="O11" s="8">
        <f t="shared" si="0"/>
        <v>192224</v>
      </c>
      <c r="P11" s="138">
        <f aca="true" t="shared" si="4" ref="P11:P37">D11/O11*100</f>
        <v>99.65665057432996</v>
      </c>
      <c r="Q11" s="8">
        <f t="shared" si="2"/>
        <v>191564</v>
      </c>
      <c r="R11" s="336">
        <v>154340</v>
      </c>
      <c r="S11" s="336">
        <v>37224</v>
      </c>
      <c r="U11" s="2">
        <v>192105</v>
      </c>
      <c r="Z11" s="2">
        <v>99.29410131832813</v>
      </c>
    </row>
    <row r="12" spans="1:26" ht="14.25">
      <c r="A12" s="5">
        <v>4</v>
      </c>
      <c r="B12" s="6" t="s">
        <v>24</v>
      </c>
      <c r="C12" s="85">
        <v>1</v>
      </c>
      <c r="D12" s="8">
        <f>Q12+Q18</f>
        <v>372808</v>
      </c>
      <c r="E12" s="8"/>
      <c r="F12" s="8">
        <f t="shared" si="1"/>
        <v>372808</v>
      </c>
      <c r="G12" s="70"/>
      <c r="H12" s="70"/>
      <c r="I12" s="70">
        <v>5592</v>
      </c>
      <c r="J12" s="70">
        <v>10692</v>
      </c>
      <c r="K12" s="8"/>
      <c r="L12" s="8"/>
      <c r="M12" s="8">
        <v>210</v>
      </c>
      <c r="N12" s="8">
        <f t="shared" si="3"/>
        <v>16494</v>
      </c>
      <c r="O12" s="8">
        <f t="shared" si="0"/>
        <v>389302</v>
      </c>
      <c r="P12" s="138">
        <f t="shared" si="4"/>
        <v>95.76318642082497</v>
      </c>
      <c r="Q12" s="8">
        <f t="shared" si="2"/>
        <v>214717</v>
      </c>
      <c r="R12" s="336">
        <v>116322</v>
      </c>
      <c r="S12" s="336">
        <v>98395</v>
      </c>
      <c r="U12" s="2">
        <v>215488</v>
      </c>
      <c r="Z12" s="2">
        <v>89.63273485884523</v>
      </c>
    </row>
    <row r="13" spans="1:26" ht="14.25">
      <c r="A13" s="5">
        <v>5</v>
      </c>
      <c r="B13" s="6" t="s">
        <v>25</v>
      </c>
      <c r="C13" s="85"/>
      <c r="D13" s="8"/>
      <c r="E13" s="8"/>
      <c r="F13" s="8">
        <f t="shared" si="1"/>
        <v>0</v>
      </c>
      <c r="G13" s="70">
        <v>51974</v>
      </c>
      <c r="H13" s="70"/>
      <c r="I13" s="70"/>
      <c r="J13" s="70"/>
      <c r="K13" s="8"/>
      <c r="L13" s="8"/>
      <c r="M13" s="8"/>
      <c r="N13" s="8">
        <f t="shared" si="3"/>
        <v>0</v>
      </c>
      <c r="O13" s="8">
        <f t="shared" si="0"/>
        <v>0</v>
      </c>
      <c r="P13" s="138"/>
      <c r="Q13" s="8">
        <f t="shared" si="2"/>
        <v>138085</v>
      </c>
      <c r="R13" s="336">
        <v>117049</v>
      </c>
      <c r="S13" s="336">
        <v>21036</v>
      </c>
      <c r="U13" s="2">
        <v>138287</v>
      </c>
      <c r="Z13" s="2">
        <v>95.65037645182001</v>
      </c>
    </row>
    <row r="14" spans="1:26" ht="14.25">
      <c r="A14" s="5">
        <v>6</v>
      </c>
      <c r="B14" s="6" t="s">
        <v>26</v>
      </c>
      <c r="C14" s="85">
        <v>1</v>
      </c>
      <c r="D14" s="8">
        <f>Q14</f>
        <v>1496328</v>
      </c>
      <c r="E14" s="8"/>
      <c r="F14" s="8">
        <f t="shared" si="1"/>
        <v>1496328</v>
      </c>
      <c r="G14" s="70">
        <v>55994</v>
      </c>
      <c r="H14" s="70">
        <f>G14</f>
        <v>55994</v>
      </c>
      <c r="I14" s="70">
        <v>96795</v>
      </c>
      <c r="J14" s="70">
        <v>72875</v>
      </c>
      <c r="K14" s="8"/>
      <c r="L14" s="8"/>
      <c r="M14" s="8">
        <v>540</v>
      </c>
      <c r="N14" s="8">
        <f t="shared" si="3"/>
        <v>226204</v>
      </c>
      <c r="O14" s="8">
        <f t="shared" si="0"/>
        <v>1722532</v>
      </c>
      <c r="P14" s="138">
        <f t="shared" si="4"/>
        <v>86.86793627055985</v>
      </c>
      <c r="Q14" s="8">
        <f t="shared" si="2"/>
        <v>1496328</v>
      </c>
      <c r="R14" s="336">
        <v>1161288</v>
      </c>
      <c r="S14" s="336">
        <v>335040</v>
      </c>
      <c r="U14" s="2">
        <v>1513277</v>
      </c>
      <c r="Z14" s="2">
        <v>98.70950073495302</v>
      </c>
    </row>
    <row r="15" spans="1:26" ht="14.25">
      <c r="A15" s="5">
        <v>7</v>
      </c>
      <c r="B15" s="6" t="s">
        <v>27</v>
      </c>
      <c r="C15" s="85">
        <v>1</v>
      </c>
      <c r="D15" s="8">
        <f>Q15</f>
        <v>470023</v>
      </c>
      <c r="E15" s="8"/>
      <c r="F15" s="8">
        <f t="shared" si="1"/>
        <v>470023</v>
      </c>
      <c r="G15" s="70">
        <v>20742</v>
      </c>
      <c r="H15" s="70">
        <f>G15</f>
        <v>20742</v>
      </c>
      <c r="I15" s="70">
        <v>5440</v>
      </c>
      <c r="J15" s="70">
        <v>26489</v>
      </c>
      <c r="K15" s="8"/>
      <c r="L15" s="8"/>
      <c r="M15" s="8">
        <v>60</v>
      </c>
      <c r="N15" s="8">
        <f t="shared" si="3"/>
        <v>52731</v>
      </c>
      <c r="O15" s="8">
        <f t="shared" si="0"/>
        <v>522754</v>
      </c>
      <c r="P15" s="138">
        <f t="shared" si="4"/>
        <v>89.91284619534235</v>
      </c>
      <c r="Q15" s="8">
        <f t="shared" si="2"/>
        <v>470023</v>
      </c>
      <c r="R15" s="336">
        <v>320976</v>
      </c>
      <c r="S15" s="336">
        <v>149047</v>
      </c>
      <c r="U15" s="2">
        <v>479607</v>
      </c>
      <c r="Z15" s="2">
        <v>99.97113064460531</v>
      </c>
    </row>
    <row r="16" spans="1:26" ht="14.25">
      <c r="A16" s="5">
        <v>8</v>
      </c>
      <c r="B16" s="6" t="s">
        <v>28</v>
      </c>
      <c r="C16" s="85">
        <v>1</v>
      </c>
      <c r="D16" s="8">
        <f>Q16</f>
        <v>256824</v>
      </c>
      <c r="E16" s="8"/>
      <c r="F16" s="8">
        <f t="shared" si="1"/>
        <v>256824</v>
      </c>
      <c r="G16" s="70"/>
      <c r="H16" s="70"/>
      <c r="I16" s="70">
        <v>4733</v>
      </c>
      <c r="J16" s="70">
        <v>2446</v>
      </c>
      <c r="K16" s="8"/>
      <c r="L16" s="8"/>
      <c r="M16" s="8"/>
      <c r="N16" s="8">
        <f t="shared" si="3"/>
        <v>7179</v>
      </c>
      <c r="O16" s="8">
        <f t="shared" si="0"/>
        <v>264003</v>
      </c>
      <c r="P16" s="138">
        <f t="shared" si="4"/>
        <v>97.28071271917365</v>
      </c>
      <c r="Q16" s="8">
        <f t="shared" si="2"/>
        <v>256824</v>
      </c>
      <c r="R16" s="336">
        <v>62455</v>
      </c>
      <c r="S16" s="336">
        <v>194369</v>
      </c>
      <c r="U16" s="2">
        <v>260477</v>
      </c>
      <c r="Z16" s="2">
        <v>75.71221873871875</v>
      </c>
    </row>
    <row r="17" spans="1:26" ht="14.25">
      <c r="A17" s="5">
        <v>9</v>
      </c>
      <c r="B17" s="6" t="s">
        <v>29</v>
      </c>
      <c r="C17" s="85">
        <v>1</v>
      </c>
      <c r="D17" s="8">
        <f>Q17</f>
        <v>189774</v>
      </c>
      <c r="E17" s="8"/>
      <c r="F17" s="8">
        <f t="shared" si="1"/>
        <v>189774</v>
      </c>
      <c r="G17" s="70"/>
      <c r="H17" s="70"/>
      <c r="I17" s="70"/>
      <c r="J17" s="70"/>
      <c r="K17" s="8"/>
      <c r="L17" s="8"/>
      <c r="M17" s="8"/>
      <c r="N17" s="8">
        <f t="shared" si="3"/>
        <v>0</v>
      </c>
      <c r="O17" s="8">
        <f t="shared" si="0"/>
        <v>189774</v>
      </c>
      <c r="P17" s="138">
        <f t="shared" si="4"/>
        <v>100</v>
      </c>
      <c r="Q17" s="8">
        <f t="shared" si="2"/>
        <v>189774</v>
      </c>
      <c r="R17" s="336">
        <v>155717</v>
      </c>
      <c r="S17" s="336">
        <v>34057</v>
      </c>
      <c r="U17" s="2">
        <v>192623</v>
      </c>
      <c r="Z17" s="2">
        <v>96.67962101031165</v>
      </c>
    </row>
    <row r="18" spans="1:26" ht="14.25">
      <c r="A18" s="5">
        <v>10</v>
      </c>
      <c r="B18" s="6" t="s">
        <v>30</v>
      </c>
      <c r="C18" s="85"/>
      <c r="D18" s="8"/>
      <c r="E18" s="8"/>
      <c r="F18" s="8">
        <f t="shared" si="1"/>
        <v>0</v>
      </c>
      <c r="G18" s="70"/>
      <c r="H18" s="70"/>
      <c r="I18" s="70"/>
      <c r="J18" s="70"/>
      <c r="K18" s="8"/>
      <c r="L18" s="8"/>
      <c r="M18" s="8"/>
      <c r="N18" s="8">
        <f t="shared" si="3"/>
        <v>0</v>
      </c>
      <c r="O18" s="8">
        <f t="shared" si="0"/>
        <v>0</v>
      </c>
      <c r="P18" s="138"/>
      <c r="Q18" s="8">
        <f t="shared" si="2"/>
        <v>158091</v>
      </c>
      <c r="R18" s="336">
        <v>142896</v>
      </c>
      <c r="S18" s="336">
        <v>15195</v>
      </c>
      <c r="U18" s="2">
        <v>158714</v>
      </c>
      <c r="Z18" s="2">
        <v>78.24355311618743</v>
      </c>
    </row>
    <row r="19" spans="1:26" ht="14.25">
      <c r="A19" s="5">
        <v>11</v>
      </c>
      <c r="B19" s="6" t="s">
        <v>31</v>
      </c>
      <c r="C19" s="85">
        <v>1</v>
      </c>
      <c r="D19" s="8">
        <f>Q19</f>
        <v>1613635</v>
      </c>
      <c r="E19" s="8"/>
      <c r="F19" s="8">
        <f t="shared" si="1"/>
        <v>1613635</v>
      </c>
      <c r="G19" s="70">
        <v>487776</v>
      </c>
      <c r="H19" s="70">
        <f>G19</f>
        <v>487776</v>
      </c>
      <c r="I19" s="70">
        <v>115937</v>
      </c>
      <c r="J19" s="70">
        <v>149472</v>
      </c>
      <c r="K19" s="8"/>
      <c r="L19" s="8"/>
      <c r="M19" s="8">
        <v>4290</v>
      </c>
      <c r="N19" s="8">
        <f t="shared" si="3"/>
        <v>757475</v>
      </c>
      <c r="O19" s="8">
        <f t="shared" si="0"/>
        <v>2371110</v>
      </c>
      <c r="P19" s="138">
        <f t="shared" si="4"/>
        <v>68.05399159043655</v>
      </c>
      <c r="Q19" s="8">
        <f t="shared" si="2"/>
        <v>1613635</v>
      </c>
      <c r="R19" s="336">
        <v>1256524</v>
      </c>
      <c r="S19" s="336">
        <v>357111</v>
      </c>
      <c r="U19" s="2">
        <v>1635253</v>
      </c>
      <c r="Z19" s="2">
        <v>89.60746703418836</v>
      </c>
    </row>
    <row r="20" spans="1:26" ht="14.25">
      <c r="A20" s="5">
        <v>12</v>
      </c>
      <c r="B20" s="6" t="s">
        <v>32</v>
      </c>
      <c r="C20" s="85">
        <v>1</v>
      </c>
      <c r="D20" s="8">
        <f>Q20</f>
        <v>2871487</v>
      </c>
      <c r="E20" s="8"/>
      <c r="F20" s="8">
        <f t="shared" si="1"/>
        <v>2871487</v>
      </c>
      <c r="G20" s="70">
        <v>49218</v>
      </c>
      <c r="H20" s="70">
        <f>G20</f>
        <v>49218</v>
      </c>
      <c r="I20" s="70">
        <v>52885</v>
      </c>
      <c r="J20" s="70">
        <v>11420</v>
      </c>
      <c r="K20" s="8"/>
      <c r="L20" s="8"/>
      <c r="M20" s="8"/>
      <c r="N20" s="8">
        <f t="shared" si="3"/>
        <v>113523</v>
      </c>
      <c r="O20" s="8">
        <f t="shared" si="0"/>
        <v>2985010</v>
      </c>
      <c r="P20" s="138">
        <f t="shared" si="4"/>
        <v>96.19689716282357</v>
      </c>
      <c r="Q20" s="8">
        <f t="shared" si="2"/>
        <v>2871487</v>
      </c>
      <c r="R20" s="336">
        <v>897650</v>
      </c>
      <c r="S20" s="336">
        <v>1973837</v>
      </c>
      <c r="U20" s="2">
        <v>2897991</v>
      </c>
      <c r="Z20" s="2">
        <v>99.97456889684165</v>
      </c>
    </row>
    <row r="21" spans="1:26" ht="14.25">
      <c r="A21" s="5">
        <v>13</v>
      </c>
      <c r="B21" s="6" t="s">
        <v>33</v>
      </c>
      <c r="C21" s="85">
        <v>1</v>
      </c>
      <c r="D21" s="8">
        <f>Q21+Q13</f>
        <v>830208</v>
      </c>
      <c r="E21" s="8"/>
      <c r="F21" s="8">
        <f t="shared" si="1"/>
        <v>830208</v>
      </c>
      <c r="G21" s="70">
        <v>180021</v>
      </c>
      <c r="H21" s="70">
        <f>G21+G13</f>
        <v>231995</v>
      </c>
      <c r="I21" s="70">
        <v>25563</v>
      </c>
      <c r="J21" s="70">
        <v>17100</v>
      </c>
      <c r="K21" s="8"/>
      <c r="L21" s="8"/>
      <c r="M21" s="8">
        <v>150</v>
      </c>
      <c r="N21" s="8">
        <f t="shared" si="3"/>
        <v>274808</v>
      </c>
      <c r="O21" s="8">
        <f t="shared" si="0"/>
        <v>1105016</v>
      </c>
      <c r="P21" s="138">
        <f t="shared" si="4"/>
        <v>75.13085783373272</v>
      </c>
      <c r="Q21" s="8">
        <f t="shared" si="2"/>
        <v>692123</v>
      </c>
      <c r="R21" s="336">
        <v>554722</v>
      </c>
      <c r="S21" s="336">
        <v>137401</v>
      </c>
      <c r="U21" s="2">
        <v>691578</v>
      </c>
      <c r="Z21" s="2">
        <v>98.60322263014092</v>
      </c>
    </row>
    <row r="22" spans="1:26" ht="14.25">
      <c r="A22" s="5">
        <v>14</v>
      </c>
      <c r="B22" s="6" t="s">
        <v>34</v>
      </c>
      <c r="C22" s="85">
        <v>1</v>
      </c>
      <c r="D22" s="8">
        <f>Q22</f>
        <v>1942678</v>
      </c>
      <c r="E22" s="8"/>
      <c r="F22" s="8">
        <f t="shared" si="1"/>
        <v>1942678</v>
      </c>
      <c r="G22" s="70">
        <v>68774</v>
      </c>
      <c r="H22" s="70">
        <f>G22</f>
        <v>68774</v>
      </c>
      <c r="I22" s="70">
        <v>99408</v>
      </c>
      <c r="J22" s="70">
        <v>247964</v>
      </c>
      <c r="K22" s="8"/>
      <c r="L22" s="8"/>
      <c r="M22" s="8">
        <v>3000</v>
      </c>
      <c r="N22" s="8">
        <f t="shared" si="3"/>
        <v>419146</v>
      </c>
      <c r="O22" s="8">
        <f t="shared" si="0"/>
        <v>2361824</v>
      </c>
      <c r="P22" s="138">
        <f t="shared" si="4"/>
        <v>82.25329237064236</v>
      </c>
      <c r="Q22" s="8">
        <f t="shared" si="2"/>
        <v>1942678</v>
      </c>
      <c r="R22" s="336">
        <v>1413354</v>
      </c>
      <c r="S22" s="336">
        <v>529324</v>
      </c>
      <c r="U22" s="2">
        <v>1969776</v>
      </c>
      <c r="Z22" s="2">
        <v>79.92374107626578</v>
      </c>
    </row>
    <row r="23" spans="1:26" ht="14.25">
      <c r="A23" s="5">
        <v>15</v>
      </c>
      <c r="B23" s="6" t="s">
        <v>35</v>
      </c>
      <c r="C23" s="85">
        <v>1</v>
      </c>
      <c r="D23" s="8">
        <f>Q23+Q24</f>
        <v>143447</v>
      </c>
      <c r="E23" s="8"/>
      <c r="F23" s="8">
        <f t="shared" si="1"/>
        <v>143447</v>
      </c>
      <c r="G23" s="70"/>
      <c r="H23" s="70"/>
      <c r="I23" s="70"/>
      <c r="J23" s="70"/>
      <c r="K23" s="8"/>
      <c r="L23" s="8"/>
      <c r="M23" s="8"/>
      <c r="N23" s="8">
        <f t="shared" si="3"/>
        <v>0</v>
      </c>
      <c r="O23" s="8">
        <f t="shared" si="0"/>
        <v>143447</v>
      </c>
      <c r="P23" s="138">
        <f t="shared" si="4"/>
        <v>100</v>
      </c>
      <c r="Q23" s="8">
        <f t="shared" si="2"/>
        <v>79518</v>
      </c>
      <c r="R23" s="336">
        <v>59032</v>
      </c>
      <c r="S23" s="336">
        <v>20486</v>
      </c>
      <c r="U23" s="2">
        <v>104510</v>
      </c>
      <c r="Z23" s="2">
        <v>92.71026885407557</v>
      </c>
    </row>
    <row r="24" spans="1:26" ht="14.25">
      <c r="A24" s="5">
        <v>16</v>
      </c>
      <c r="B24" s="6" t="s">
        <v>36</v>
      </c>
      <c r="C24" s="85"/>
      <c r="D24" s="8"/>
      <c r="E24" s="8"/>
      <c r="F24" s="8"/>
      <c r="G24" s="70"/>
      <c r="H24" s="70"/>
      <c r="I24" s="70"/>
      <c r="J24" s="70"/>
      <c r="K24" s="8"/>
      <c r="L24" s="8"/>
      <c r="M24" s="8"/>
      <c r="N24" s="8">
        <f t="shared" si="3"/>
        <v>0</v>
      </c>
      <c r="O24" s="8">
        <f t="shared" si="0"/>
        <v>0</v>
      </c>
      <c r="P24" s="138"/>
      <c r="Q24" s="8">
        <f t="shared" si="2"/>
        <v>63929</v>
      </c>
      <c r="R24" s="336">
        <v>48576</v>
      </c>
      <c r="S24" s="336">
        <v>15353</v>
      </c>
      <c r="U24" s="2">
        <v>63838</v>
      </c>
      <c r="Z24" s="2">
        <v>91.28337895095608</v>
      </c>
    </row>
    <row r="25" spans="1:26" ht="14.25">
      <c r="A25" s="5">
        <v>17</v>
      </c>
      <c r="B25" s="6" t="s">
        <v>37</v>
      </c>
      <c r="C25" s="85">
        <v>1</v>
      </c>
      <c r="D25" s="8">
        <f>Q25</f>
        <v>348150</v>
      </c>
      <c r="E25" s="8"/>
      <c r="F25" s="8">
        <f t="shared" si="1"/>
        <v>348150</v>
      </c>
      <c r="G25" s="70"/>
      <c r="H25" s="70"/>
      <c r="I25" s="70">
        <v>3676</v>
      </c>
      <c r="J25" s="71">
        <v>6738</v>
      </c>
      <c r="K25" s="8"/>
      <c r="L25" s="8"/>
      <c r="M25" s="8">
        <v>300</v>
      </c>
      <c r="N25" s="8">
        <f t="shared" si="3"/>
        <v>10714</v>
      </c>
      <c r="O25" s="8">
        <f t="shared" si="0"/>
        <v>358864</v>
      </c>
      <c r="P25" s="138">
        <f t="shared" si="4"/>
        <v>97.01446787641001</v>
      </c>
      <c r="Q25" s="8">
        <f>R25+S25</f>
        <v>348150</v>
      </c>
      <c r="R25" s="336">
        <v>248464</v>
      </c>
      <c r="S25" s="336">
        <v>99686</v>
      </c>
      <c r="U25" s="2">
        <v>354764</v>
      </c>
      <c r="Z25" s="2">
        <v>94.06692280432698</v>
      </c>
    </row>
    <row r="26" spans="1:26" ht="14.25">
      <c r="A26" s="5">
        <v>18</v>
      </c>
      <c r="B26" s="6" t="s">
        <v>38</v>
      </c>
      <c r="C26" s="85">
        <v>1</v>
      </c>
      <c r="D26" s="8">
        <f>Q26</f>
        <v>935140</v>
      </c>
      <c r="E26" s="8"/>
      <c r="F26" s="8">
        <f t="shared" si="1"/>
        <v>935140</v>
      </c>
      <c r="G26" s="70">
        <f>53917+43194</f>
        <v>97111</v>
      </c>
      <c r="H26" s="70">
        <f>G26</f>
        <v>97111</v>
      </c>
      <c r="I26" s="70">
        <v>24577</v>
      </c>
      <c r="J26" s="70">
        <v>17087</v>
      </c>
      <c r="K26" s="70">
        <v>202402</v>
      </c>
      <c r="L26" s="70"/>
      <c r="M26" s="70">
        <v>390</v>
      </c>
      <c r="N26" s="8">
        <f t="shared" si="3"/>
        <v>341567</v>
      </c>
      <c r="O26" s="8">
        <f t="shared" si="0"/>
        <v>1276707</v>
      </c>
      <c r="P26" s="138">
        <f t="shared" si="4"/>
        <v>73.24624992265257</v>
      </c>
      <c r="Q26" s="8">
        <f t="shared" si="2"/>
        <v>935140</v>
      </c>
      <c r="R26" s="336">
        <v>571143</v>
      </c>
      <c r="S26" s="336">
        <v>363997</v>
      </c>
      <c r="U26" s="2">
        <v>947437</v>
      </c>
      <c r="Z26" s="2">
        <v>97.34495055716977</v>
      </c>
    </row>
    <row r="27" spans="1:26" ht="14.25">
      <c r="A27" s="5">
        <v>19</v>
      </c>
      <c r="B27" s="6" t="s">
        <v>39</v>
      </c>
      <c r="C27" s="85">
        <v>1</v>
      </c>
      <c r="D27" s="8">
        <f>Q27</f>
        <v>852978</v>
      </c>
      <c r="E27" s="8"/>
      <c r="F27" s="8">
        <f t="shared" si="1"/>
        <v>852978</v>
      </c>
      <c r="G27" s="70">
        <v>36466</v>
      </c>
      <c r="H27" s="70">
        <f>G27</f>
        <v>36466</v>
      </c>
      <c r="I27" s="70">
        <v>24193</v>
      </c>
      <c r="J27" s="71">
        <v>7935</v>
      </c>
      <c r="K27" s="70"/>
      <c r="L27" s="70">
        <v>54351</v>
      </c>
      <c r="M27" s="70">
        <v>3060</v>
      </c>
      <c r="N27" s="8">
        <f t="shared" si="3"/>
        <v>126005</v>
      </c>
      <c r="O27" s="8">
        <f t="shared" si="0"/>
        <v>978983</v>
      </c>
      <c r="P27" s="138">
        <f>D27/O27*100</f>
        <v>87.12898998246139</v>
      </c>
      <c r="Q27" s="8">
        <f t="shared" si="2"/>
        <v>852978</v>
      </c>
      <c r="R27" s="336">
        <v>626968</v>
      </c>
      <c r="S27" s="336">
        <v>226010</v>
      </c>
      <c r="U27" s="2">
        <v>863610</v>
      </c>
      <c r="Z27" s="2">
        <v>99.57320250470293</v>
      </c>
    </row>
    <row r="28" spans="1:26" ht="14.25">
      <c r="A28" s="5">
        <v>20</v>
      </c>
      <c r="B28" s="6" t="s">
        <v>40</v>
      </c>
      <c r="C28" s="85">
        <v>1</v>
      </c>
      <c r="D28" s="8">
        <f>Q28</f>
        <v>1522368</v>
      </c>
      <c r="E28" s="8"/>
      <c r="F28" s="8">
        <f t="shared" si="1"/>
        <v>1522368</v>
      </c>
      <c r="G28" s="70">
        <f>6747+130867</f>
        <v>137614</v>
      </c>
      <c r="H28" s="70">
        <f>G28</f>
        <v>137614</v>
      </c>
      <c r="I28" s="70">
        <v>38208</v>
      </c>
      <c r="J28" s="70">
        <v>9327</v>
      </c>
      <c r="K28" s="8"/>
      <c r="L28" s="8"/>
      <c r="M28" s="8">
        <v>3180</v>
      </c>
      <c r="N28" s="8">
        <f t="shared" si="3"/>
        <v>188329</v>
      </c>
      <c r="O28" s="8">
        <f t="shared" si="0"/>
        <v>1710697</v>
      </c>
      <c r="P28" s="138">
        <f t="shared" si="4"/>
        <v>88.99109544238402</v>
      </c>
      <c r="Q28" s="8">
        <f t="shared" si="2"/>
        <v>1522368</v>
      </c>
      <c r="R28" s="336">
        <v>1019091</v>
      </c>
      <c r="S28" s="336">
        <v>503277</v>
      </c>
      <c r="U28" s="2">
        <v>1537142</v>
      </c>
      <c r="Z28" s="2">
        <v>86.84519099492839</v>
      </c>
    </row>
    <row r="29" spans="1:26" ht="14.25">
      <c r="A29" s="5">
        <v>21</v>
      </c>
      <c r="B29" s="6" t="s">
        <v>41</v>
      </c>
      <c r="C29" s="85"/>
      <c r="D29" s="8"/>
      <c r="E29" s="8"/>
      <c r="F29" s="8"/>
      <c r="G29" s="70"/>
      <c r="H29" s="70"/>
      <c r="I29" s="70"/>
      <c r="J29" s="70"/>
      <c r="K29" s="8"/>
      <c r="L29" s="8"/>
      <c r="M29" s="8"/>
      <c r="N29" s="8">
        <f t="shared" si="3"/>
        <v>0</v>
      </c>
      <c r="O29" s="8">
        <f t="shared" si="0"/>
        <v>0</v>
      </c>
      <c r="P29" s="138"/>
      <c r="Q29" s="8">
        <f t="shared" si="2"/>
        <v>172585</v>
      </c>
      <c r="R29" s="336">
        <v>137118</v>
      </c>
      <c r="S29" s="336">
        <v>35467</v>
      </c>
      <c r="U29" s="2">
        <v>175527</v>
      </c>
      <c r="Z29" s="2">
        <v>68.69298009921071</v>
      </c>
    </row>
    <row r="30" spans="1:26" ht="14.25">
      <c r="A30" s="5">
        <v>22</v>
      </c>
      <c r="B30" s="6" t="s">
        <v>42</v>
      </c>
      <c r="C30" s="85">
        <v>1</v>
      </c>
      <c r="D30" s="8">
        <f>Q30</f>
        <v>766715</v>
      </c>
      <c r="E30" s="8"/>
      <c r="F30" s="8">
        <f t="shared" si="1"/>
        <v>766715</v>
      </c>
      <c r="G30" s="70">
        <v>51230</v>
      </c>
      <c r="H30" s="70">
        <f>G30</f>
        <v>51230</v>
      </c>
      <c r="I30" s="70">
        <v>40525</v>
      </c>
      <c r="J30" s="71">
        <v>14000</v>
      </c>
      <c r="K30" s="8"/>
      <c r="L30" s="8"/>
      <c r="M30" s="8">
        <v>480</v>
      </c>
      <c r="N30" s="8">
        <f t="shared" si="3"/>
        <v>106235</v>
      </c>
      <c r="O30" s="8">
        <f t="shared" si="0"/>
        <v>872950</v>
      </c>
      <c r="P30" s="138">
        <f t="shared" si="4"/>
        <v>87.83034538060599</v>
      </c>
      <c r="Q30" s="8">
        <f t="shared" si="2"/>
        <v>766715</v>
      </c>
      <c r="R30" s="336">
        <v>570800</v>
      </c>
      <c r="S30" s="336">
        <v>195915</v>
      </c>
      <c r="U30" s="2">
        <v>886296</v>
      </c>
      <c r="Z30" s="2">
        <v>88.91460676253703</v>
      </c>
    </row>
    <row r="31" spans="1:26" ht="14.25">
      <c r="A31" s="5">
        <v>23</v>
      </c>
      <c r="B31" s="6" t="s">
        <v>43</v>
      </c>
      <c r="C31" s="85">
        <v>1</v>
      </c>
      <c r="D31" s="8">
        <f>Q31+Q29</f>
        <v>616600</v>
      </c>
      <c r="E31" s="8"/>
      <c r="F31" s="8">
        <f t="shared" si="1"/>
        <v>616600</v>
      </c>
      <c r="G31" s="70">
        <v>21128</v>
      </c>
      <c r="H31" s="70">
        <f>G31</f>
        <v>21128</v>
      </c>
      <c r="I31" s="70">
        <v>5998</v>
      </c>
      <c r="J31" s="71">
        <v>8464</v>
      </c>
      <c r="K31" s="8"/>
      <c r="L31" s="8"/>
      <c r="M31" s="8">
        <v>240</v>
      </c>
      <c r="N31" s="8">
        <f t="shared" si="3"/>
        <v>35830</v>
      </c>
      <c r="O31" s="8">
        <f t="shared" si="0"/>
        <v>652430</v>
      </c>
      <c r="P31" s="138">
        <f t="shared" si="4"/>
        <v>94.50822310439435</v>
      </c>
      <c r="Q31" s="8">
        <f t="shared" si="2"/>
        <v>444015</v>
      </c>
      <c r="R31" s="336">
        <v>382486</v>
      </c>
      <c r="S31" s="336">
        <v>61529</v>
      </c>
      <c r="U31" s="2">
        <v>449455</v>
      </c>
      <c r="Z31" s="2">
        <v>0</v>
      </c>
    </row>
    <row r="32" spans="1:26" ht="14.25">
      <c r="A32" s="5">
        <v>24</v>
      </c>
      <c r="B32" s="6" t="s">
        <v>44</v>
      </c>
      <c r="C32" s="85">
        <v>1</v>
      </c>
      <c r="D32" s="8">
        <f>Q32+Q9</f>
        <v>521979</v>
      </c>
      <c r="E32" s="8"/>
      <c r="F32" s="8">
        <f t="shared" si="1"/>
        <v>521979</v>
      </c>
      <c r="G32" s="70"/>
      <c r="H32" s="70"/>
      <c r="I32" s="70">
        <v>2153</v>
      </c>
      <c r="J32" s="71">
        <v>3755</v>
      </c>
      <c r="K32" s="8"/>
      <c r="L32" s="8"/>
      <c r="M32" s="8"/>
      <c r="N32" s="8">
        <f t="shared" si="3"/>
        <v>5908</v>
      </c>
      <c r="O32" s="8">
        <f t="shared" si="0"/>
        <v>527887</v>
      </c>
      <c r="P32" s="138">
        <f t="shared" si="4"/>
        <v>98.8808210848155</v>
      </c>
      <c r="Q32" s="8">
        <f t="shared" si="2"/>
        <v>507769</v>
      </c>
      <c r="R32" s="336">
        <v>264509</v>
      </c>
      <c r="S32" s="336">
        <v>243260</v>
      </c>
      <c r="U32" s="2">
        <v>494849</v>
      </c>
      <c r="Z32" s="2">
        <v>0</v>
      </c>
    </row>
    <row r="33" spans="1:26" ht="14.25">
      <c r="A33" s="5">
        <v>25</v>
      </c>
      <c r="B33" s="6" t="s">
        <v>45</v>
      </c>
      <c r="C33" s="85">
        <v>1</v>
      </c>
      <c r="D33" s="8">
        <f>Q33</f>
        <v>886504</v>
      </c>
      <c r="E33" s="8"/>
      <c r="F33" s="8">
        <f t="shared" si="1"/>
        <v>886504</v>
      </c>
      <c r="G33" s="70">
        <v>106901</v>
      </c>
      <c r="H33" s="70">
        <f>G33</f>
        <v>106901</v>
      </c>
      <c r="I33" s="70">
        <v>81377</v>
      </c>
      <c r="J33" s="70">
        <v>37917</v>
      </c>
      <c r="K33" s="8"/>
      <c r="L33" s="8"/>
      <c r="M33" s="8">
        <v>1560</v>
      </c>
      <c r="N33" s="8">
        <f t="shared" si="3"/>
        <v>227755</v>
      </c>
      <c r="O33" s="8">
        <f t="shared" si="0"/>
        <v>1114259</v>
      </c>
      <c r="P33" s="138">
        <f t="shared" si="4"/>
        <v>79.55995868106068</v>
      </c>
      <c r="Q33" s="8">
        <f t="shared" si="2"/>
        <v>886504</v>
      </c>
      <c r="R33" s="336">
        <v>886504</v>
      </c>
      <c r="S33" s="336">
        <v>0</v>
      </c>
      <c r="U33" s="2">
        <v>896209</v>
      </c>
      <c r="Z33" s="2">
        <v>75.3354056694775</v>
      </c>
    </row>
    <row r="34" spans="1:21" ht="14.25">
      <c r="A34" s="5">
        <v>26</v>
      </c>
      <c r="B34" s="6" t="s">
        <v>46</v>
      </c>
      <c r="C34" s="85">
        <v>1</v>
      </c>
      <c r="D34" s="8">
        <f>Q34</f>
        <v>788221</v>
      </c>
      <c r="E34" s="8"/>
      <c r="F34" s="8">
        <f t="shared" si="1"/>
        <v>788221</v>
      </c>
      <c r="G34" s="70">
        <v>333673</v>
      </c>
      <c r="H34" s="70">
        <f>G34</f>
        <v>333673</v>
      </c>
      <c r="I34" s="70">
        <v>108832</v>
      </c>
      <c r="J34" s="70">
        <v>65196</v>
      </c>
      <c r="K34" s="8"/>
      <c r="L34" s="8"/>
      <c r="M34" s="8"/>
      <c r="N34" s="8">
        <f t="shared" si="3"/>
        <v>507701</v>
      </c>
      <c r="O34" s="8">
        <f t="shared" si="0"/>
        <v>1295922</v>
      </c>
      <c r="P34" s="138">
        <f t="shared" si="4"/>
        <v>60.82318225942611</v>
      </c>
      <c r="Q34" s="8">
        <f t="shared" si="2"/>
        <v>788221</v>
      </c>
      <c r="R34" s="336">
        <v>767037</v>
      </c>
      <c r="S34" s="336">
        <v>21184</v>
      </c>
      <c r="U34" s="2">
        <v>799996</v>
      </c>
    </row>
    <row r="35" spans="1:21" ht="15">
      <c r="A35" s="5"/>
      <c r="B35" s="7" t="s">
        <v>47</v>
      </c>
      <c r="C35" s="45">
        <v>1</v>
      </c>
      <c r="D35" s="8">
        <f>SUM(D9:D34)</f>
        <v>19368441</v>
      </c>
      <c r="E35" s="8">
        <f aca="true" t="shared" si="5" ref="E35:M35">SUM(E9:E34)</f>
        <v>0</v>
      </c>
      <c r="F35" s="8">
        <f t="shared" si="5"/>
        <v>19368441</v>
      </c>
      <c r="G35" s="70">
        <f t="shared" si="5"/>
        <v>1824424</v>
      </c>
      <c r="H35" s="70">
        <f t="shared" si="5"/>
        <v>1824424</v>
      </c>
      <c r="I35" s="70">
        <f t="shared" si="5"/>
        <v>824485</v>
      </c>
      <c r="J35" s="70">
        <f t="shared" si="5"/>
        <v>874293</v>
      </c>
      <c r="K35" s="8">
        <f t="shared" si="5"/>
        <v>202402</v>
      </c>
      <c r="L35" s="8">
        <f t="shared" si="5"/>
        <v>54351</v>
      </c>
      <c r="M35" s="8">
        <f t="shared" si="5"/>
        <v>23970</v>
      </c>
      <c r="N35" s="8">
        <f>SUM(N9:N34)</f>
        <v>3803925</v>
      </c>
      <c r="O35" s="8">
        <f>SUM(O9:O34)</f>
        <v>23172366</v>
      </c>
      <c r="P35" s="370">
        <f t="shared" si="4"/>
        <v>83.58421837459325</v>
      </c>
      <c r="Q35" s="31">
        <f>SUM(Q9:Q34)</f>
        <v>19368441</v>
      </c>
      <c r="R35" s="31">
        <f>SUM(R9:R34)</f>
        <v>13116431</v>
      </c>
      <c r="S35" s="31">
        <f>SUM(S9:S34)</f>
        <v>6252010</v>
      </c>
      <c r="U35" s="31">
        <f>SUM(U9:U34)</f>
        <v>19713816</v>
      </c>
    </row>
    <row r="36" spans="1:17" ht="14.25">
      <c r="A36" s="4">
        <v>27</v>
      </c>
      <c r="B36" s="3" t="s">
        <v>48</v>
      </c>
      <c r="C36" s="4"/>
      <c r="D36" s="11"/>
      <c r="E36" s="70">
        <v>1944053</v>
      </c>
      <c r="F36" s="8">
        <f t="shared" si="1"/>
        <v>1944053</v>
      </c>
      <c r="G36" s="70">
        <v>1162863</v>
      </c>
      <c r="H36" s="70">
        <f>G36</f>
        <v>1162863</v>
      </c>
      <c r="I36" s="70">
        <v>183570</v>
      </c>
      <c r="J36" s="70">
        <v>93159</v>
      </c>
      <c r="K36" s="8"/>
      <c r="L36" s="8"/>
      <c r="M36" s="8">
        <v>12990</v>
      </c>
      <c r="N36" s="8">
        <f t="shared" si="3"/>
        <v>1452582</v>
      </c>
      <c r="O36" s="8">
        <f t="shared" si="0"/>
        <v>3396635</v>
      </c>
      <c r="P36" s="138">
        <f t="shared" si="4"/>
        <v>0</v>
      </c>
      <c r="Q36" s="32"/>
    </row>
    <row r="37" spans="1:18" ht="14.25">
      <c r="A37" s="4">
        <v>28</v>
      </c>
      <c r="B37" s="3" t="s">
        <v>49</v>
      </c>
      <c r="C37" s="4"/>
      <c r="D37" s="11"/>
      <c r="E37" s="70">
        <v>1598794</v>
      </c>
      <c r="F37" s="8">
        <f t="shared" si="1"/>
        <v>1598794</v>
      </c>
      <c r="G37" s="70">
        <v>350592</v>
      </c>
      <c r="H37" s="70">
        <f>G37</f>
        <v>350592</v>
      </c>
      <c r="I37" s="70">
        <v>233286</v>
      </c>
      <c r="J37" s="70">
        <v>523465</v>
      </c>
      <c r="K37" s="8"/>
      <c r="L37" s="8"/>
      <c r="M37" s="8">
        <v>7740</v>
      </c>
      <c r="N37" s="8">
        <f t="shared" si="3"/>
        <v>1115083</v>
      </c>
      <c r="O37" s="8">
        <f t="shared" si="0"/>
        <v>2713877</v>
      </c>
      <c r="P37" s="138">
        <f t="shared" si="4"/>
        <v>0</v>
      </c>
      <c r="Q37" s="32"/>
      <c r="R37" s="23"/>
    </row>
    <row r="38" spans="1:19" ht="15">
      <c r="A38" s="4"/>
      <c r="B38" s="3" t="s">
        <v>50</v>
      </c>
      <c r="C38" s="4">
        <v>1</v>
      </c>
      <c r="D38" s="8">
        <f aca="true" t="shared" si="6" ref="D38:O38">SUM(D35:D37)</f>
        <v>19368441</v>
      </c>
      <c r="E38" s="8">
        <f t="shared" si="6"/>
        <v>3542847</v>
      </c>
      <c r="F38" s="8">
        <f t="shared" si="6"/>
        <v>22911288</v>
      </c>
      <c r="G38" s="93">
        <f t="shared" si="6"/>
        <v>3337879</v>
      </c>
      <c r="H38" s="70">
        <f t="shared" si="6"/>
        <v>3337879</v>
      </c>
      <c r="I38" s="70">
        <f t="shared" si="6"/>
        <v>1241341</v>
      </c>
      <c r="J38" s="70">
        <f t="shared" si="6"/>
        <v>1490917</v>
      </c>
      <c r="K38" s="8">
        <f t="shared" si="6"/>
        <v>202402</v>
      </c>
      <c r="L38" s="8">
        <f t="shared" si="6"/>
        <v>54351</v>
      </c>
      <c r="M38" s="8">
        <f t="shared" si="6"/>
        <v>44700</v>
      </c>
      <c r="N38" s="8">
        <f t="shared" si="6"/>
        <v>6371590</v>
      </c>
      <c r="O38" s="8">
        <f t="shared" si="6"/>
        <v>29282878</v>
      </c>
      <c r="P38" s="370">
        <f>D38/O38*100</f>
        <v>66.1425458249015</v>
      </c>
      <c r="Q38" s="557"/>
      <c r="R38" s="556"/>
      <c r="S38" s="556"/>
    </row>
    <row r="39" spans="1:21" ht="14.25">
      <c r="A39" s="3" t="s">
        <v>51</v>
      </c>
      <c r="B39" s="3"/>
      <c r="C39" s="4"/>
      <c r="D39" s="139">
        <f>D38/O38*100</f>
        <v>66.1425458249015</v>
      </c>
      <c r="E39" s="139">
        <f>E38/O38*100</f>
        <v>12.098698085618496</v>
      </c>
      <c r="F39" s="139">
        <f>F38/O38*100</f>
        <v>78.24124391052</v>
      </c>
      <c r="G39" s="139">
        <f>G38/O38*100</f>
        <v>11.398739563781948</v>
      </c>
      <c r="H39" s="139">
        <f>H38/O38*100</f>
        <v>11.398739563781948</v>
      </c>
      <c r="I39" s="139">
        <f>I38/O38*100</f>
        <v>4.23913592099793</v>
      </c>
      <c r="J39" s="139">
        <f>J38/O38*100</f>
        <v>5.091429196269575</v>
      </c>
      <c r="K39" s="139">
        <f>K38/O38*100</f>
        <v>0.6911957219505542</v>
      </c>
      <c r="L39" s="139">
        <f>L38/O38*100</f>
        <v>0.18560675627580048</v>
      </c>
      <c r="M39" s="139"/>
      <c r="N39" s="139">
        <f>N38/O38*100</f>
        <v>21.758756089480002</v>
      </c>
      <c r="O39" s="139">
        <f>O38/O38*100</f>
        <v>100</v>
      </c>
      <c r="P39" s="139"/>
      <c r="Q39" s="12"/>
      <c r="U39" s="23"/>
    </row>
    <row r="40" spans="1:17" ht="14.25">
      <c r="A40" s="101"/>
      <c r="B40" s="101"/>
      <c r="C40" s="366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40"/>
      <c r="Q40" s="12"/>
    </row>
    <row r="41" spans="1:17" ht="14.25">
      <c r="A41" s="3" t="str">
        <f>'Anne-7'!A41</f>
        <v>Conn. As on 31.08.2013</v>
      </c>
      <c r="B41" s="3"/>
      <c r="C41" s="4">
        <v>1</v>
      </c>
      <c r="D41" s="8">
        <v>19573829</v>
      </c>
      <c r="E41" s="8">
        <v>3548346</v>
      </c>
      <c r="F41" s="8">
        <v>23122175</v>
      </c>
      <c r="G41" s="8">
        <v>3318043</v>
      </c>
      <c r="H41" s="8">
        <v>3318043</v>
      </c>
      <c r="I41" s="8">
        <v>1241898</v>
      </c>
      <c r="J41" s="8">
        <v>1483220</v>
      </c>
      <c r="K41" s="8">
        <v>200354</v>
      </c>
      <c r="L41" s="8">
        <v>53141</v>
      </c>
      <c r="M41" s="8">
        <v>41880</v>
      </c>
      <c r="N41" s="8">
        <v>6338536</v>
      </c>
      <c r="O41" s="8">
        <v>29460711</v>
      </c>
      <c r="P41" s="138">
        <f>D41/O41*100</f>
        <v>66.44045013034479</v>
      </c>
      <c r="Q41" s="12"/>
    </row>
    <row r="42" spans="1:16" ht="14.25">
      <c r="A42" s="3" t="str">
        <f>'Anne-7'!A42</f>
        <v>Addition during September 2013</v>
      </c>
      <c r="B42" s="108"/>
      <c r="C42" s="328">
        <v>8</v>
      </c>
      <c r="D42" s="8">
        <f aca="true" t="shared" si="7" ref="D42:O42">D38-D41</f>
        <v>-205388</v>
      </c>
      <c r="E42" s="8">
        <f t="shared" si="7"/>
        <v>-5499</v>
      </c>
      <c r="F42" s="8">
        <f t="shared" si="7"/>
        <v>-210887</v>
      </c>
      <c r="G42" s="8">
        <f t="shared" si="7"/>
        <v>19836</v>
      </c>
      <c r="H42" s="8">
        <f t="shared" si="7"/>
        <v>19836</v>
      </c>
      <c r="I42" s="8">
        <f t="shared" si="7"/>
        <v>-557</v>
      </c>
      <c r="J42" s="8">
        <f t="shared" si="7"/>
        <v>7697</v>
      </c>
      <c r="K42" s="8">
        <f t="shared" si="7"/>
        <v>2048</v>
      </c>
      <c r="L42" s="8">
        <f t="shared" si="7"/>
        <v>1210</v>
      </c>
      <c r="M42" s="8">
        <f t="shared" si="7"/>
        <v>2820</v>
      </c>
      <c r="N42" s="8">
        <f t="shared" si="7"/>
        <v>33054</v>
      </c>
      <c r="O42" s="8">
        <f t="shared" si="7"/>
        <v>-177833</v>
      </c>
      <c r="P42" s="156" t="s">
        <v>130</v>
      </c>
    </row>
    <row r="43" spans="1:16" ht="14.25">
      <c r="A43" s="3" t="str">
        <f>'Anne-7'!A43</f>
        <v>Conn. As on 31.03.2013</v>
      </c>
      <c r="B43" s="108"/>
      <c r="C43" s="4">
        <v>1</v>
      </c>
      <c r="D43" s="8">
        <v>20446062</v>
      </c>
      <c r="E43" s="8">
        <v>3456885</v>
      </c>
      <c r="F43" s="8">
        <v>23902947</v>
      </c>
      <c r="G43" s="8">
        <v>3283070</v>
      </c>
      <c r="H43" s="8">
        <v>3283070</v>
      </c>
      <c r="I43" s="8">
        <v>1242626</v>
      </c>
      <c r="J43" s="8">
        <v>1505999</v>
      </c>
      <c r="K43" s="8">
        <v>187642</v>
      </c>
      <c r="L43" s="8">
        <v>52474</v>
      </c>
      <c r="M43" s="8">
        <v>32910</v>
      </c>
      <c r="N43" s="8">
        <v>6304721</v>
      </c>
      <c r="O43" s="8">
        <v>30207668</v>
      </c>
      <c r="P43" s="138">
        <f>D43/O43*100</f>
        <v>67.68500633680164</v>
      </c>
    </row>
    <row r="44" spans="1:16" ht="14.25">
      <c r="A44" s="3" t="str">
        <f>'Anne-7'!A44</f>
        <v>Addition during 2013-14</v>
      </c>
      <c r="B44" s="108"/>
      <c r="C44" s="4">
        <v>8</v>
      </c>
      <c r="D44" s="8">
        <f aca="true" t="shared" si="8" ref="D44:O44">D38-D43</f>
        <v>-1077621</v>
      </c>
      <c r="E44" s="8">
        <f t="shared" si="8"/>
        <v>85962</v>
      </c>
      <c r="F44" s="8">
        <f t="shared" si="8"/>
        <v>-991659</v>
      </c>
      <c r="G44" s="8">
        <f t="shared" si="8"/>
        <v>54809</v>
      </c>
      <c r="H44" s="8">
        <f t="shared" si="8"/>
        <v>54809</v>
      </c>
      <c r="I44" s="8">
        <f t="shared" si="8"/>
        <v>-1285</v>
      </c>
      <c r="J44" s="8">
        <f t="shared" si="8"/>
        <v>-15082</v>
      </c>
      <c r="K44" s="8">
        <f t="shared" si="8"/>
        <v>14760</v>
      </c>
      <c r="L44" s="8">
        <f t="shared" si="8"/>
        <v>1877</v>
      </c>
      <c r="M44" s="8">
        <f t="shared" si="8"/>
        <v>11790</v>
      </c>
      <c r="N44" s="8">
        <f t="shared" si="8"/>
        <v>66869</v>
      </c>
      <c r="O44" s="8">
        <f t="shared" si="8"/>
        <v>-924790</v>
      </c>
      <c r="P44" s="156" t="s">
        <v>130</v>
      </c>
    </row>
    <row r="45" spans="1:16" ht="14.25">
      <c r="A45" s="485" t="s">
        <v>248</v>
      </c>
      <c r="B45" s="485"/>
      <c r="C45" s="36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84"/>
    </row>
    <row r="46" spans="1:16" ht="14.25">
      <c r="A46" s="101"/>
      <c r="B46" s="101"/>
      <c r="C46" s="36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84"/>
    </row>
    <row r="47" spans="1:15" ht="14.25">
      <c r="A47" s="101"/>
      <c r="B47" s="101"/>
      <c r="C47" s="36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 ht="14.25">
      <c r="A48" s="101"/>
      <c r="B48" s="101"/>
      <c r="C48" s="36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484"/>
    </row>
    <row r="49" spans="1:16" ht="14.25">
      <c r="A49" s="101"/>
      <c r="B49" s="101"/>
      <c r="C49" s="36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484"/>
    </row>
    <row r="50" ht="14.25">
      <c r="B50" s="2" t="s">
        <v>79</v>
      </c>
    </row>
    <row r="51" spans="2:10" ht="14.25">
      <c r="B51" s="2" t="s">
        <v>78</v>
      </c>
      <c r="I51" s="23"/>
      <c r="J51" s="23"/>
    </row>
    <row r="52" spans="2:11" ht="14.25">
      <c r="B52" s="2" t="s">
        <v>74</v>
      </c>
      <c r="K52" s="23"/>
    </row>
    <row r="53" spans="2:10" ht="14.25">
      <c r="B53" s="2" t="s">
        <v>73</v>
      </c>
      <c r="J53" s="23"/>
    </row>
    <row r="54" spans="2:3" ht="15">
      <c r="B54" s="26" t="s">
        <v>77</v>
      </c>
      <c r="C54" s="26"/>
    </row>
    <row r="56" spans="11:12" ht="14.25">
      <c r="K56" s="532"/>
      <c r="L56" s="101"/>
    </row>
    <row r="57" spans="4:15" ht="15">
      <c r="D57" s="23">
        <f>D11+D23</f>
        <v>335011</v>
      </c>
      <c r="K57" s="532"/>
      <c r="L57" s="533"/>
      <c r="O57" s="23">
        <f>O11+O23</f>
        <v>335671</v>
      </c>
    </row>
    <row r="58" spans="8:12" ht="14.25">
      <c r="H58" s="2">
        <f>136762+6934</f>
        <v>143696</v>
      </c>
      <c r="K58" s="532"/>
      <c r="L58" s="101"/>
    </row>
    <row r="59" spans="4:12" ht="14.25">
      <c r="D59" s="23" t="e">
        <f>D44+'Anne-7'!D44+'Anne-7'!#REF!</f>
        <v>#REF!</v>
      </c>
      <c r="K59" s="532"/>
      <c r="L59" s="101"/>
    </row>
    <row r="60" spans="11:12" ht="14.25">
      <c r="K60" s="532"/>
      <c r="L60" s="101"/>
    </row>
    <row r="61" spans="11:12" ht="15">
      <c r="K61" s="532"/>
      <c r="L61" s="533"/>
    </row>
    <row r="62" spans="11:12" ht="15">
      <c r="K62" s="532"/>
      <c r="L62" s="533"/>
    </row>
    <row r="63" spans="11:12" ht="14.25">
      <c r="K63" s="532"/>
      <c r="L63" s="101"/>
    </row>
    <row r="64" spans="11:12" ht="15">
      <c r="K64" s="532"/>
      <c r="L64" s="533"/>
    </row>
    <row r="65" spans="11:12" ht="14.25">
      <c r="K65" s="532"/>
      <c r="L65" s="101"/>
    </row>
    <row r="66" spans="11:12" ht="15">
      <c r="K66" s="532"/>
      <c r="L66" s="533"/>
    </row>
    <row r="67" spans="11:12" ht="15">
      <c r="K67" s="532"/>
      <c r="L67" s="533"/>
    </row>
    <row r="68" spans="11:12" ht="14.25">
      <c r="K68" s="532"/>
      <c r="L68" s="101"/>
    </row>
    <row r="69" spans="11:12" ht="15">
      <c r="K69" s="532"/>
      <c r="L69" s="533"/>
    </row>
    <row r="70" spans="11:12" ht="14.25">
      <c r="K70" s="532"/>
      <c r="L70" s="101"/>
    </row>
    <row r="71" spans="11:12" ht="14.25">
      <c r="K71" s="532"/>
      <c r="L71" s="101"/>
    </row>
    <row r="72" spans="11:12" ht="14.25">
      <c r="K72" s="532"/>
      <c r="L72" s="101"/>
    </row>
    <row r="73" spans="11:12" ht="15">
      <c r="K73" s="532"/>
      <c r="L73" s="533"/>
    </row>
    <row r="74" spans="11:12" ht="15">
      <c r="K74" s="532"/>
      <c r="L74" s="533"/>
    </row>
    <row r="75" spans="11:12" ht="15">
      <c r="K75" s="532"/>
      <c r="L75" s="533"/>
    </row>
    <row r="76" spans="11:12" ht="14.25">
      <c r="K76" s="532"/>
      <c r="L76" s="101"/>
    </row>
    <row r="77" spans="11:12" ht="15">
      <c r="K77" s="532"/>
      <c r="L77" s="533"/>
    </row>
    <row r="78" spans="11:12" ht="15">
      <c r="K78" s="532"/>
      <c r="L78" s="533"/>
    </row>
    <row r="79" spans="11:12" ht="14.25">
      <c r="K79" s="532"/>
      <c r="L79" s="101"/>
    </row>
    <row r="80" spans="11:12" ht="14.25">
      <c r="K80" s="532"/>
      <c r="L80" s="101"/>
    </row>
    <row r="81" spans="11:12" ht="14.25">
      <c r="K81" s="532"/>
      <c r="L81" s="101"/>
    </row>
    <row r="82" spans="11:12" ht="14.25">
      <c r="K82" s="101"/>
      <c r="L82" s="101"/>
    </row>
    <row r="83" spans="11:12" ht="15">
      <c r="K83" s="101"/>
      <c r="L83" s="533"/>
    </row>
    <row r="84" spans="11:12" ht="15">
      <c r="K84" s="101"/>
      <c r="L84" s="533"/>
    </row>
  </sheetData>
  <sheetProtection/>
  <mergeCells count="17">
    <mergeCell ref="I7:I8"/>
    <mergeCell ref="J7:J8"/>
    <mergeCell ref="L7:L8"/>
    <mergeCell ref="Q6:S7"/>
    <mergeCell ref="N7:N8"/>
    <mergeCell ref="O7:O8"/>
    <mergeCell ref="K7:K8"/>
    <mergeCell ref="P6:P8"/>
    <mergeCell ref="M7:M8"/>
    <mergeCell ref="H7:H8"/>
    <mergeCell ref="G7:G8"/>
    <mergeCell ref="A6:A8"/>
    <mergeCell ref="B6:B8"/>
    <mergeCell ref="D7:D8"/>
    <mergeCell ref="E7:E8"/>
    <mergeCell ref="F7:F8"/>
    <mergeCell ref="C7:C8"/>
  </mergeCells>
  <conditionalFormatting sqref="P10:P35">
    <cfRule type="top10" priority="1" dxfId="1" stopIfTrue="1" rank="5" bottom="1"/>
    <cfRule type="top10" priority="2" dxfId="0" stopIfTrue="1" rank="5"/>
  </conditionalFormatting>
  <conditionalFormatting sqref="P9:P35">
    <cfRule type="top10" priority="3" dxfId="1" stopIfTrue="1" rank="5" bottom="1"/>
    <cfRule type="top10" priority="4" dxfId="0" stopIfTrue="1" rank="5"/>
  </conditionalFormatting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2013-11-07T12:25:22Z</cp:lastPrinted>
  <dcterms:created xsi:type="dcterms:W3CDTF">2007-06-20T11:07:42Z</dcterms:created>
  <dcterms:modified xsi:type="dcterms:W3CDTF">2013-11-18T08:39:24Z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